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100ee\Fernwärme\"/>
    </mc:Choice>
  </mc:AlternateContent>
  <bookViews>
    <workbookView xWindow="0" yWindow="0" windowWidth="12570" windowHeight="7965"/>
  </bookViews>
  <sheets>
    <sheet name="Heizkostenvergleich" sheetId="1" r:id="rId1"/>
  </sheets>
  <definedNames>
    <definedName name="_xlnm.Print_Area" localSheetId="0">Heizkostenvergleich!$B$1:$T$106</definedName>
  </definedNames>
  <calcPr calcId="171027"/>
</workbook>
</file>

<file path=xl/calcChain.xml><?xml version="1.0" encoding="utf-8"?>
<calcChain xmlns="http://schemas.openxmlformats.org/spreadsheetml/2006/main">
  <c r="P38" i="1" l="1"/>
  <c r="M72" i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G40" i="1"/>
  <c r="M87" i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L114" i="1"/>
  <c r="G39" i="1"/>
  <c r="D121" i="1" s="1"/>
  <c r="G129" i="1" l="1"/>
  <c r="G130" i="1"/>
  <c r="J20" i="1" s="1"/>
  <c r="G131" i="1"/>
  <c r="G132" i="1"/>
  <c r="G128" i="1"/>
  <c r="F132" i="1"/>
  <c r="F131" i="1"/>
  <c r="F130" i="1"/>
  <c r="F129" i="1"/>
  <c r="F128" i="1"/>
  <c r="G53" i="1" l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Q53" i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D120" i="1"/>
  <c r="K72" i="1" s="1"/>
  <c r="G38" i="1"/>
  <c r="G47" i="1" s="1"/>
  <c r="D122" i="1" l="1"/>
  <c r="G56" i="1"/>
  <c r="L72" i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O72" i="1"/>
  <c r="P72" i="1" s="1"/>
  <c r="Q72" i="1" s="1"/>
  <c r="K73" i="1"/>
  <c r="O73" i="1" s="1"/>
  <c r="G57" i="1" l="1"/>
  <c r="G58" i="1" s="1"/>
  <c r="P73" i="1"/>
  <c r="Q73" i="1" s="1"/>
  <c r="H114" i="1"/>
  <c r="G9" i="1" l="1"/>
  <c r="F122" i="1" l="1"/>
  <c r="Q24" i="1"/>
  <c r="P39" i="1" s="1"/>
  <c r="H115" i="1"/>
  <c r="H116" i="1" s="1"/>
  <c r="G11" i="1"/>
  <c r="L87" i="1" l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F121" i="1"/>
  <c r="J24" i="1"/>
  <c r="K116" i="1" l="1"/>
  <c r="C34" i="1" s="1"/>
  <c r="K74" i="1"/>
  <c r="N22" i="1" l="1"/>
  <c r="R22" i="1" s="1"/>
  <c r="W10" i="1" s="1"/>
  <c r="X10" i="1" s="1"/>
  <c r="C28" i="1"/>
  <c r="O74" i="1"/>
  <c r="P74" i="1" s="1"/>
  <c r="Q74" i="1" s="1"/>
  <c r="K75" i="1"/>
  <c r="O75" i="1" s="1"/>
  <c r="P75" i="1" s="1"/>
  <c r="Q75" i="1" s="1"/>
  <c r="W15" i="1" l="1"/>
  <c r="X15" i="1" s="1"/>
  <c r="K76" i="1"/>
  <c r="W11" i="1"/>
  <c r="X11" i="1" s="1"/>
  <c r="W13" i="1"/>
  <c r="X13" i="1" s="1"/>
  <c r="W17" i="1"/>
  <c r="X17" i="1" s="1"/>
  <c r="Q40" i="1" l="1"/>
  <c r="Q47" i="1" s="1"/>
  <c r="O76" i="1"/>
  <c r="P76" i="1" s="1"/>
  <c r="Q76" i="1" s="1"/>
  <c r="K77" i="1"/>
  <c r="O77" i="1" s="1"/>
  <c r="P77" i="1" l="1"/>
  <c r="Q77" i="1" s="1"/>
  <c r="K87" i="1"/>
  <c r="F120" i="1"/>
  <c r="K78" i="1"/>
  <c r="O78" i="1" s="1"/>
  <c r="K88" i="1" l="1"/>
  <c r="K89" i="1" s="1"/>
  <c r="K90" i="1" s="1"/>
  <c r="K91" i="1" s="1"/>
  <c r="K92" i="1" s="1"/>
  <c r="K93" i="1" s="1"/>
  <c r="K94" i="1" s="1"/>
  <c r="K95" i="1" s="1"/>
  <c r="K96" i="1" s="1"/>
  <c r="K97" i="1" s="1"/>
  <c r="P78" i="1"/>
  <c r="Q78" i="1" s="1"/>
  <c r="O87" i="1"/>
  <c r="Q56" i="1"/>
  <c r="Q57" i="1" s="1"/>
  <c r="Q58" i="1" s="1"/>
  <c r="J62" i="1" s="1"/>
  <c r="L62" i="1" s="1"/>
  <c r="K79" i="1"/>
  <c r="O79" i="1" s="1"/>
  <c r="O88" i="1" l="1"/>
  <c r="P88" i="1" s="1"/>
  <c r="P87" i="1"/>
  <c r="Q87" i="1" s="1"/>
  <c r="P79" i="1"/>
  <c r="Q79" i="1" s="1"/>
  <c r="K80" i="1"/>
  <c r="O80" i="1" s="1"/>
  <c r="O89" i="1" l="1"/>
  <c r="P80" i="1"/>
  <c r="Q80" i="1" s="1"/>
  <c r="Q88" i="1"/>
  <c r="K81" i="1"/>
  <c r="O81" i="1" s="1"/>
  <c r="O90" i="1" l="1"/>
  <c r="P89" i="1"/>
  <c r="Q89" i="1" s="1"/>
  <c r="P81" i="1"/>
  <c r="Q81" i="1" s="1"/>
  <c r="K82" i="1"/>
  <c r="O82" i="1" s="1"/>
  <c r="P82" i="1" s="1"/>
  <c r="Q82" i="1" s="1"/>
  <c r="O91" i="1" l="1"/>
  <c r="P90" i="1"/>
  <c r="Q90" i="1" s="1"/>
  <c r="O92" i="1" l="1"/>
  <c r="P91" i="1"/>
  <c r="Q91" i="1" s="1"/>
  <c r="O93" i="1" l="1"/>
  <c r="P92" i="1"/>
  <c r="Q92" i="1" s="1"/>
  <c r="O94" i="1" l="1"/>
  <c r="P93" i="1"/>
  <c r="Q93" i="1" s="1"/>
  <c r="O95" i="1" l="1"/>
  <c r="P94" i="1"/>
  <c r="Q94" i="1" s="1"/>
  <c r="O96" i="1" l="1"/>
  <c r="O97" i="1"/>
  <c r="P95" i="1"/>
  <c r="Q95" i="1" s="1"/>
  <c r="P97" i="1" l="1"/>
  <c r="Q97" i="1" s="1"/>
  <c r="P96" i="1"/>
  <c r="Q96" i="1" s="1"/>
  <c r="P100" i="1" l="1"/>
</calcChain>
</file>

<file path=xl/sharedStrings.xml><?xml version="1.0" encoding="utf-8"?>
<sst xmlns="http://schemas.openxmlformats.org/spreadsheetml/2006/main" count="132" uniqueCount="98">
  <si>
    <t>Wärmepreisstruktur:</t>
  </si>
  <si>
    <t>Wärmetarif</t>
  </si>
  <si>
    <t>Grundpreis</t>
  </si>
  <si>
    <t>EUR/a</t>
  </si>
  <si>
    <t>Leistungspreis</t>
  </si>
  <si>
    <t>EUR/kW/a</t>
  </si>
  <si>
    <t>Arbeitspreis</t>
  </si>
  <si>
    <t>EUR/MWh</t>
  </si>
  <si>
    <t>die ersten</t>
  </si>
  <si>
    <t>50 MWh</t>
  </si>
  <si>
    <t>die nächsten</t>
  </si>
  <si>
    <t>Zwischensumme</t>
  </si>
  <si>
    <t>100 MWh</t>
  </si>
  <si>
    <t>200 MWh</t>
  </si>
  <si>
    <t>400 MWh</t>
  </si>
  <si>
    <t>alle weiteren</t>
  </si>
  <si>
    <t>MWh</t>
  </si>
  <si>
    <t>Ist</t>
  </si>
  <si>
    <t>Brennstoffart</t>
  </si>
  <si>
    <t>Gas</t>
  </si>
  <si>
    <t>Öl</t>
  </si>
  <si>
    <t>Preise</t>
  </si>
  <si>
    <t>ja</t>
  </si>
  <si>
    <t>nein</t>
  </si>
  <si>
    <t>Nebenrechnung Kesselwirkungsgrad</t>
  </si>
  <si>
    <t>Baujahr</t>
  </si>
  <si>
    <t>älter als</t>
  </si>
  <si>
    <t>Wirk gesamt</t>
  </si>
  <si>
    <t>Brennwert Brennstoff</t>
  </si>
  <si>
    <t>kWh/l</t>
  </si>
  <si>
    <t>€/Jahr</t>
  </si>
  <si>
    <t>Summe</t>
  </si>
  <si>
    <t>Fernwärme</t>
  </si>
  <si>
    <t>Wärmebedarf</t>
  </si>
  <si>
    <t>in MWh =</t>
  </si>
  <si>
    <t>Ersparnis:</t>
  </si>
  <si>
    <t>Prognosse Kostenentwicklung</t>
  </si>
  <si>
    <t>Vollbenutzungsdauer:</t>
  </si>
  <si>
    <t xml:space="preserve">Preisblatt: Wärmetarif </t>
  </si>
  <si>
    <t>Baujahr Kessel</t>
  </si>
  <si>
    <t>Brennstoffbezug</t>
  </si>
  <si>
    <t>Gaspreissteigerung pro Jahr</t>
  </si>
  <si>
    <t>Ölpreissteigerung pro Jahr</t>
  </si>
  <si>
    <t>10 Jahre</t>
  </si>
  <si>
    <t>Brennstoff</t>
  </si>
  <si>
    <t>Sonstige</t>
  </si>
  <si>
    <t>Konv</t>
  </si>
  <si>
    <t>Ersparnis nach 10 Jahren =</t>
  </si>
  <si>
    <t>Brennwertnutzung</t>
  </si>
  <si>
    <t>Bearbeitungsfelder</t>
  </si>
  <si>
    <t>Sonstige pro Jahr</t>
  </si>
  <si>
    <t>Nebenrechnung Verbrauch</t>
  </si>
  <si>
    <t>Heizkostenvergleich Fernwärme Steyerberg</t>
  </si>
  <si>
    <t>Energie / Brennstoffkosten:</t>
  </si>
  <si>
    <t>Grundkosten (netto)</t>
  </si>
  <si>
    <t>Schornsteinfeger</t>
  </si>
  <si>
    <t>Investition (wiederkehrend Heizungsanlage)</t>
  </si>
  <si>
    <t>Investition (einmalig für Wärmetauscher etc.)</t>
  </si>
  <si>
    <t>Nutzungsdauer in Jahren</t>
  </si>
  <si>
    <t>Gesamtkosten (netto)</t>
  </si>
  <si>
    <t>MwSt.</t>
  </si>
  <si>
    <t>GESAMTKOSTEN (BRUTTO)</t>
  </si>
  <si>
    <t>Leistung Kessel</t>
  </si>
  <si>
    <t>Richtwert ca. 1200-2000h/a je nach Gebäudetyp &amp; Nutzung! bei Abweichung Prüfung erforderlich!!</t>
  </si>
  <si>
    <t>Anschlussleistung Übergabestation</t>
  </si>
  <si>
    <t>Leistungspreiskosten (netto)</t>
  </si>
  <si>
    <t>Arbeitspreiskosten (netto)</t>
  </si>
  <si>
    <t>Ist in den Grundkosten mit enthalten!</t>
  </si>
  <si>
    <t>entfällt</t>
  </si>
  <si>
    <t>sonstige Kosten:</t>
  </si>
  <si>
    <t>Abschreibung:</t>
  </si>
  <si>
    <t>Vollkostenrechnung:</t>
  </si>
  <si>
    <t>JAHRESHEIZKOSTEN  (netto)</t>
  </si>
  <si>
    <t>Abschreibung (ohne Zinsbelastung)</t>
  </si>
  <si>
    <t>Heizwert [kWh] pro</t>
  </si>
  <si>
    <t>Brennwert [kWh] pro</t>
  </si>
  <si>
    <t>Einheit</t>
  </si>
  <si>
    <t>Hs/Hi</t>
  </si>
  <si>
    <t>Erdgas L</t>
  </si>
  <si>
    <t>m³</t>
  </si>
  <si>
    <t>Erdgas H</t>
  </si>
  <si>
    <t>Heizöl EL</t>
  </si>
  <si>
    <t>l</t>
  </si>
  <si>
    <t>Heizöl S</t>
  </si>
  <si>
    <t>Stadtgas</t>
  </si>
  <si>
    <t>%</t>
  </si>
  <si>
    <t>Stromkosten Heizung (Gebläse/Ventilator  vs.  Primärventil)</t>
  </si>
  <si>
    <t>Wartung / Instandhaltung</t>
  </si>
  <si>
    <r>
      <t>Alle Angaben (</t>
    </r>
    <r>
      <rPr>
        <b/>
        <sz val="14"/>
        <color theme="9" tint="-0.249977111117893"/>
        <rFont val="Calibri"/>
        <family val="2"/>
        <scheme val="minor"/>
      </rPr>
      <t>orange</t>
    </r>
    <r>
      <rPr>
        <b/>
        <sz val="14"/>
        <color theme="1"/>
        <rFont val="Calibri"/>
        <family val="2"/>
        <scheme val="minor"/>
      </rPr>
      <t>)  Netto zzgl. MwSt.</t>
    </r>
  </si>
  <si>
    <t>Änderung Arbeitspreis Fernwärme:</t>
  </si>
  <si>
    <t>Grund und Leistungspreis Fernwärme sind konstant!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</si>
  <si>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 [g/kWhHs]</t>
    </r>
  </si>
  <si>
    <t>bis</t>
  </si>
  <si>
    <t>Abschreibung</t>
  </si>
  <si>
    <t>Grund- &amp; Leistungspreis</t>
  </si>
  <si>
    <t>Zwischen-summe</t>
  </si>
  <si>
    <t>Konventionell</t>
  </si>
  <si>
    <t>Ab- 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</si>
</sst>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\ &quot;kW&quot;"/>
    <numFmt numFmtId="165" formatCode="0,000.00\ &quot;kWh/Jahr&quot;"/>
    <numFmt numFmtId="166" formatCode="0\ &quot;h/a&quot;"/>
    <numFmt numFmtId="167" formatCode="_-* #,##0\ _€_-;\-* #,##0\ _€_-;_-* &quot;-&quot;??\ _€_-;_-@_-"/>
    <numFmt numFmtId="168" formatCode="_-* #,##0.00\ [$€-407]_-;\-* #,##0.00\ [$€-407]_-;_-* &quot;-&quot;??\ [$€-407]_-;_-@_-"/>
    <numFmt numFmtId="169" formatCode="0\ &quot;Jahre&quot;"/>
    <numFmt numFmtId="170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u val="singleAccounting"/>
      <sz val="2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b/>
      <u/>
      <sz val="22"/>
      <color theme="1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 Black"/>
      <family val="2"/>
    </font>
    <font>
      <b/>
      <sz val="24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18" fillId="3" borderId="9" xfId="0" applyFont="1" applyFill="1" applyBorder="1" applyAlignment="1" applyProtection="1">
      <alignment horizontal="right"/>
      <protection locked="0"/>
    </xf>
    <xf numFmtId="167" fontId="18" fillId="3" borderId="9" xfId="1" applyNumberFormat="1" applyFont="1" applyFill="1" applyBorder="1" applyAlignment="1" applyProtection="1">
      <alignment horizontal="right"/>
      <protection locked="0"/>
    </xf>
    <xf numFmtId="43" fontId="18" fillId="3" borderId="9" xfId="1" applyFont="1" applyFill="1" applyBorder="1" applyAlignment="1" applyProtection="1">
      <alignment horizontal="right"/>
      <protection locked="0"/>
    </xf>
    <xf numFmtId="164" fontId="18" fillId="3" borderId="9" xfId="0" applyNumberFormat="1" applyFont="1" applyFill="1" applyBorder="1" applyAlignment="1" applyProtection="1">
      <alignment horizontal="right"/>
      <protection locked="0"/>
    </xf>
    <xf numFmtId="0" fontId="21" fillId="3" borderId="9" xfId="0" applyFont="1" applyFill="1" applyBorder="1" applyAlignment="1" applyProtection="1">
      <alignment horizontal="right"/>
      <protection locked="0"/>
    </xf>
    <xf numFmtId="164" fontId="21" fillId="3" borderId="9" xfId="0" applyNumberFormat="1" applyFont="1" applyFill="1" applyBorder="1" applyAlignment="1" applyProtection="1">
      <alignment horizontal="right"/>
      <protection locked="0"/>
    </xf>
    <xf numFmtId="9" fontId="11" fillId="3" borderId="14" xfId="0" applyNumberFormat="1" applyFont="1" applyFill="1" applyBorder="1" applyAlignment="1" applyProtection="1">
      <alignment horizontal="center"/>
      <protection locked="0"/>
    </xf>
    <xf numFmtId="9" fontId="11" fillId="3" borderId="9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Protection="1"/>
    <xf numFmtId="0" fontId="0" fillId="0" borderId="0" xfId="0" applyProtection="1"/>
    <xf numFmtId="0" fontId="30" fillId="7" borderId="0" xfId="0" applyFont="1" applyFill="1" applyAlignment="1" applyProtection="1">
      <alignment horizontal="left" vertical="center"/>
    </xf>
    <xf numFmtId="0" fontId="2" fillId="7" borderId="0" xfId="0" applyFont="1" applyFill="1" applyProtection="1"/>
    <xf numFmtId="0" fontId="17" fillId="3" borderId="10" xfId="0" applyFont="1" applyFill="1" applyBorder="1" applyProtection="1"/>
    <xf numFmtId="0" fontId="17" fillId="3" borderId="9" xfId="0" applyFont="1" applyFill="1" applyBorder="1" applyProtection="1"/>
    <xf numFmtId="0" fontId="2" fillId="7" borderId="2" xfId="0" applyFont="1" applyFill="1" applyBorder="1" applyProtection="1"/>
    <xf numFmtId="0" fontId="2" fillId="7" borderId="3" xfId="0" applyFont="1" applyFill="1" applyBorder="1" applyProtection="1"/>
    <xf numFmtId="0" fontId="2" fillId="7" borderId="1" xfId="0" applyFont="1" applyFill="1" applyBorder="1" applyProtection="1"/>
    <xf numFmtId="0" fontId="0" fillId="7" borderId="3" xfId="0" applyFill="1" applyBorder="1" applyProtection="1"/>
    <xf numFmtId="0" fontId="2" fillId="7" borderId="4" xfId="0" applyFont="1" applyFill="1" applyBorder="1" applyProtection="1"/>
    <xf numFmtId="0" fontId="2" fillId="7" borderId="5" xfId="0" applyFont="1" applyFill="1" applyBorder="1" applyProtection="1"/>
    <xf numFmtId="0" fontId="2" fillId="7" borderId="0" xfId="0" applyFont="1" applyFill="1" applyBorder="1" applyProtection="1"/>
    <xf numFmtId="0" fontId="0" fillId="7" borderId="5" xfId="0" applyFill="1" applyBorder="1" applyProtection="1"/>
    <xf numFmtId="0" fontId="2" fillId="7" borderId="2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  <xf numFmtId="0" fontId="3" fillId="7" borderId="0" xfId="0" applyFont="1" applyFill="1" applyBorder="1" applyProtection="1"/>
    <xf numFmtId="0" fontId="6" fillId="7" borderId="0" xfId="0" applyFont="1" applyFill="1" applyBorder="1" applyAlignment="1" applyProtection="1">
      <alignment vertical="top" wrapText="1"/>
    </xf>
    <xf numFmtId="0" fontId="6" fillId="7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/>
    </xf>
    <xf numFmtId="0" fontId="6" fillId="7" borderId="7" xfId="0" applyFont="1" applyFill="1" applyBorder="1" applyAlignment="1" applyProtection="1">
      <alignment vertical="top" wrapText="1"/>
    </xf>
    <xf numFmtId="0" fontId="6" fillId="7" borderId="7" xfId="0" applyFont="1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18" fillId="7" borderId="0" xfId="0" applyFont="1" applyFill="1" applyBorder="1" applyProtection="1"/>
    <xf numFmtId="0" fontId="31" fillId="7" borderId="0" xfId="0" applyFont="1" applyFill="1" applyBorder="1" applyAlignment="1" applyProtection="1">
      <alignment horizontal="left" vertical="center"/>
    </xf>
    <xf numFmtId="0" fontId="31" fillId="7" borderId="0" xfId="0" applyFont="1" applyFill="1" applyBorder="1" applyProtection="1"/>
    <xf numFmtId="0" fontId="32" fillId="7" borderId="0" xfId="0" applyFont="1" applyFill="1" applyBorder="1" applyAlignment="1" applyProtection="1">
      <alignment horizontal="right" vertical="center"/>
    </xf>
    <xf numFmtId="0" fontId="32" fillId="7" borderId="0" xfId="0" applyFont="1" applyFill="1" applyBorder="1" applyAlignment="1" applyProtection="1">
      <alignment horizontal="center" vertical="center" wrapText="1"/>
    </xf>
    <xf numFmtId="0" fontId="33" fillId="7" borderId="0" xfId="0" applyFont="1" applyFill="1" applyBorder="1" applyAlignment="1" applyProtection="1">
      <alignment horizontal="center" vertical="center" wrapText="1"/>
    </xf>
    <xf numFmtId="0" fontId="34" fillId="7" borderId="0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>
      <alignment wrapText="1"/>
    </xf>
    <xf numFmtId="0" fontId="3" fillId="7" borderId="4" xfId="0" applyFont="1" applyFill="1" applyBorder="1" applyProtection="1"/>
    <xf numFmtId="10" fontId="19" fillId="7" borderId="5" xfId="3" applyNumberFormat="1" applyFont="1" applyFill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5" fillId="7" borderId="0" xfId="0" applyFont="1" applyFill="1" applyBorder="1" applyProtection="1"/>
    <xf numFmtId="43" fontId="29" fillId="7" borderId="0" xfId="1" applyFont="1" applyFill="1" applyBorder="1" applyProtection="1"/>
    <xf numFmtId="0" fontId="13" fillId="7" borderId="5" xfId="0" applyFont="1" applyFill="1" applyBorder="1" applyProtection="1"/>
    <xf numFmtId="170" fontId="19" fillId="7" borderId="5" xfId="3" applyNumberFormat="1" applyFont="1" applyFill="1" applyBorder="1" applyProtection="1"/>
    <xf numFmtId="0" fontId="5" fillId="7" borderId="0" xfId="0" applyFont="1" applyFill="1" applyBorder="1" applyAlignment="1" applyProtection="1"/>
    <xf numFmtId="166" fontId="12" fillId="6" borderId="9" xfId="0" applyNumberFormat="1" applyFont="1" applyFill="1" applyBorder="1" applyAlignment="1" applyProtection="1">
      <alignment horizontal="right"/>
    </xf>
    <xf numFmtId="0" fontId="13" fillId="7" borderId="0" xfId="0" applyFont="1" applyFill="1" applyBorder="1" applyProtection="1"/>
    <xf numFmtId="0" fontId="17" fillId="7" borderId="0" xfId="0" applyFont="1" applyFill="1" applyBorder="1" applyProtection="1"/>
    <xf numFmtId="0" fontId="3" fillId="7" borderId="4" xfId="0" applyFont="1" applyFill="1" applyBorder="1" applyAlignment="1" applyProtection="1">
      <alignment horizontal="center" wrapText="1"/>
    </xf>
    <xf numFmtId="0" fontId="3" fillId="7" borderId="0" xfId="0" applyFont="1" applyFill="1" applyBorder="1" applyAlignment="1" applyProtection="1">
      <alignment horizontal="center" wrapText="1"/>
    </xf>
    <xf numFmtId="0" fontId="15" fillId="7" borderId="4" xfId="0" applyFont="1" applyFill="1" applyBorder="1" applyProtection="1"/>
    <xf numFmtId="0" fontId="2" fillId="7" borderId="0" xfId="0" applyFont="1" applyFill="1" applyBorder="1" applyAlignment="1" applyProtection="1">
      <alignment vertical="center"/>
    </xf>
    <xf numFmtId="168" fontId="13" fillId="7" borderId="0" xfId="2" applyNumberFormat="1" applyFont="1" applyFill="1" applyBorder="1" applyAlignment="1" applyProtection="1">
      <alignment vertical="center"/>
    </xf>
    <xf numFmtId="168" fontId="13" fillId="7" borderId="0" xfId="0" applyNumberFormat="1" applyFont="1" applyFill="1" applyBorder="1" applyAlignment="1" applyProtection="1">
      <alignment vertical="center"/>
    </xf>
    <xf numFmtId="168" fontId="13" fillId="7" borderId="5" xfId="0" applyNumberFormat="1" applyFont="1" applyFill="1" applyBorder="1" applyAlignment="1" applyProtection="1">
      <alignment vertical="center"/>
    </xf>
    <xf numFmtId="168" fontId="13" fillId="7" borderId="4" xfId="0" applyNumberFormat="1" applyFont="1" applyFill="1" applyBorder="1" applyAlignment="1" applyProtection="1">
      <alignment vertical="center"/>
    </xf>
    <xf numFmtId="0" fontId="12" fillId="5" borderId="4" xfId="0" applyFont="1" applyFill="1" applyBorder="1" applyAlignment="1" applyProtection="1">
      <alignment vertical="center"/>
    </xf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vertical="center"/>
    </xf>
    <xf numFmtId="168" fontId="13" fillId="5" borderId="0" xfId="2" applyNumberFormat="1" applyFont="1" applyFill="1" applyBorder="1" applyAlignment="1" applyProtection="1">
      <alignment vertical="center"/>
    </xf>
    <xf numFmtId="168" fontId="13" fillId="5" borderId="4" xfId="0" applyNumberFormat="1" applyFont="1" applyFill="1" applyBorder="1" applyAlignment="1" applyProtection="1">
      <alignment vertical="center"/>
    </xf>
    <xf numFmtId="168" fontId="13" fillId="5" borderId="0" xfId="0" applyNumberFormat="1" applyFont="1" applyFill="1" applyBorder="1" applyAlignment="1" applyProtection="1">
      <alignment vertical="center"/>
    </xf>
    <xf numFmtId="168" fontId="13" fillId="5" borderId="5" xfId="0" applyNumberFormat="1" applyFont="1" applyFill="1" applyBorder="1" applyAlignment="1" applyProtection="1">
      <alignment vertical="center"/>
    </xf>
    <xf numFmtId="0" fontId="12" fillId="7" borderId="4" xfId="0" applyFont="1" applyFill="1" applyBorder="1" applyAlignment="1" applyProtection="1">
      <alignment vertical="center"/>
    </xf>
    <xf numFmtId="168" fontId="13" fillId="5" borderId="0" xfId="0" applyNumberFormat="1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vertical="center"/>
    </xf>
    <xf numFmtId="168" fontId="13" fillId="7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4" fillId="7" borderId="4" xfId="0" applyFont="1" applyFill="1" applyBorder="1" applyProtection="1"/>
    <xf numFmtId="0" fontId="4" fillId="4" borderId="18" xfId="0" applyFont="1" applyFill="1" applyBorder="1" applyAlignment="1" applyProtection="1">
      <alignment vertical="center"/>
    </xf>
    <xf numFmtId="0" fontId="2" fillId="4" borderId="17" xfId="0" applyFont="1" applyFill="1" applyBorder="1" applyProtection="1"/>
    <xf numFmtId="0" fontId="2" fillId="4" borderId="17" xfId="0" applyFont="1" applyFill="1" applyBorder="1" applyAlignment="1" applyProtection="1">
      <alignment vertical="center"/>
    </xf>
    <xf numFmtId="168" fontId="13" fillId="4" borderId="17" xfId="0" applyNumberFormat="1" applyFont="1" applyFill="1" applyBorder="1" applyAlignment="1" applyProtection="1">
      <alignment vertical="center"/>
    </xf>
    <xf numFmtId="168" fontId="4" fillId="4" borderId="17" xfId="0" applyNumberFormat="1" applyFont="1" applyFill="1" applyBorder="1" applyAlignment="1" applyProtection="1">
      <alignment vertical="center"/>
    </xf>
    <xf numFmtId="168" fontId="13" fillId="4" borderId="16" xfId="0" applyNumberFormat="1" applyFont="1" applyFill="1" applyBorder="1" applyAlignment="1" applyProtection="1">
      <alignment vertical="center"/>
    </xf>
    <xf numFmtId="168" fontId="13" fillId="4" borderId="18" xfId="0" applyNumberFormat="1" applyFont="1" applyFill="1" applyBorder="1" applyAlignment="1" applyProtection="1">
      <alignment vertical="center"/>
    </xf>
    <xf numFmtId="0" fontId="4" fillId="7" borderId="4" xfId="0" applyFont="1" applyFill="1" applyBorder="1" applyAlignment="1" applyProtection="1">
      <alignment vertical="center"/>
    </xf>
    <xf numFmtId="0" fontId="15" fillId="7" borderId="4" xfId="0" applyFont="1" applyFill="1" applyBorder="1" applyAlignment="1" applyProtection="1">
      <alignment vertical="center"/>
    </xf>
    <xf numFmtId="168" fontId="13" fillId="0" borderId="0" xfId="0" applyNumberFormat="1" applyFont="1" applyBorder="1" applyAlignment="1" applyProtection="1">
      <alignment vertical="center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vertical="center"/>
    </xf>
    <xf numFmtId="168" fontId="14" fillId="7" borderId="0" xfId="0" applyNumberFormat="1" applyFont="1" applyFill="1" applyBorder="1" applyAlignment="1" applyProtection="1">
      <alignment vertical="center"/>
    </xf>
    <xf numFmtId="168" fontId="14" fillId="7" borderId="5" xfId="0" applyNumberFormat="1" applyFont="1" applyFill="1" applyBorder="1" applyAlignment="1" applyProtection="1">
      <alignment vertical="center"/>
    </xf>
    <xf numFmtId="168" fontId="14" fillId="7" borderId="4" xfId="0" applyNumberFormat="1" applyFont="1" applyFill="1" applyBorder="1" applyAlignment="1" applyProtection="1">
      <alignment vertical="center"/>
    </xf>
    <xf numFmtId="0" fontId="23" fillId="7" borderId="4" xfId="0" applyFont="1" applyFill="1" applyBorder="1" applyAlignment="1" applyProtection="1">
      <alignment vertical="top"/>
    </xf>
    <xf numFmtId="0" fontId="24" fillId="7" borderId="4" xfId="0" applyFont="1" applyFill="1" applyBorder="1" applyAlignment="1" applyProtection="1"/>
    <xf numFmtId="0" fontId="4" fillId="7" borderId="0" xfId="0" applyFont="1" applyFill="1" applyBorder="1" applyProtection="1"/>
    <xf numFmtId="168" fontId="4" fillId="4" borderId="21" xfId="0" applyNumberFormat="1" applyFont="1" applyFill="1" applyBorder="1" applyAlignment="1" applyProtection="1">
      <alignment vertical="center"/>
    </xf>
    <xf numFmtId="168" fontId="4" fillId="4" borderId="20" xfId="0" applyNumberFormat="1" applyFont="1" applyFill="1" applyBorder="1" applyAlignment="1" applyProtection="1">
      <alignment vertical="center"/>
    </xf>
    <xf numFmtId="168" fontId="4" fillId="4" borderId="22" xfId="0" applyNumberFormat="1" applyFont="1" applyFill="1" applyBorder="1" applyAlignment="1" applyProtection="1">
      <alignment vertical="center"/>
    </xf>
    <xf numFmtId="0" fontId="0" fillId="7" borderId="1" xfId="0" applyFill="1" applyBorder="1" applyProtection="1"/>
    <xf numFmtId="0" fontId="0" fillId="7" borderId="2" xfId="0" applyFill="1" applyBorder="1" applyProtection="1"/>
    <xf numFmtId="0" fontId="4" fillId="7" borderId="2" xfId="0" applyFont="1" applyFill="1" applyBorder="1" applyProtection="1"/>
    <xf numFmtId="0" fontId="0" fillId="7" borderId="2" xfId="0" applyFill="1" applyBorder="1" applyAlignment="1" applyProtection="1">
      <alignment vertical="center"/>
    </xf>
    <xf numFmtId="0" fontId="13" fillId="7" borderId="2" xfId="0" applyFont="1" applyFill="1" applyBorder="1" applyAlignment="1" applyProtection="1">
      <alignment vertical="center"/>
    </xf>
    <xf numFmtId="0" fontId="13" fillId="7" borderId="3" xfId="0" applyFont="1" applyFill="1" applyBorder="1" applyAlignment="1" applyProtection="1">
      <alignment vertical="center"/>
    </xf>
    <xf numFmtId="0" fontId="9" fillId="7" borderId="4" xfId="0" applyFont="1" applyFill="1" applyBorder="1" applyProtection="1"/>
    <xf numFmtId="0" fontId="0" fillId="7" borderId="4" xfId="0" applyFill="1" applyBorder="1" applyProtection="1"/>
    <xf numFmtId="0" fontId="8" fillId="7" borderId="0" xfId="0" applyFont="1" applyFill="1" applyBorder="1" applyProtection="1"/>
    <xf numFmtId="0" fontId="9" fillId="7" borderId="0" xfId="0" applyFont="1" applyFill="1" applyBorder="1" applyProtection="1"/>
    <xf numFmtId="9" fontId="25" fillId="7" borderId="0" xfId="3" applyFont="1" applyFill="1" applyBorder="1" applyAlignment="1" applyProtection="1">
      <alignment horizontal="center" vertical="top"/>
    </xf>
    <xf numFmtId="0" fontId="0" fillId="7" borderId="6" xfId="0" applyFill="1" applyBorder="1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8" fillId="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Protection="1"/>
    <xf numFmtId="0" fontId="28" fillId="7" borderId="1" xfId="0" applyFont="1" applyFill="1" applyBorder="1" applyAlignment="1" applyProtection="1">
      <alignment horizontal="center"/>
    </xf>
    <xf numFmtId="44" fontId="28" fillId="7" borderId="1" xfId="2" applyFont="1" applyFill="1" applyBorder="1" applyAlignment="1" applyProtection="1"/>
    <xf numFmtId="168" fontId="28" fillId="7" borderId="2" xfId="0" applyNumberFormat="1" applyFont="1" applyFill="1" applyBorder="1" applyProtection="1"/>
    <xf numFmtId="44" fontId="28" fillId="7" borderId="2" xfId="2" applyFont="1" applyFill="1" applyBorder="1" applyProtection="1"/>
    <xf numFmtId="168" fontId="28" fillId="7" borderId="3" xfId="0" applyNumberFormat="1" applyFont="1" applyFill="1" applyBorder="1" applyProtection="1"/>
    <xf numFmtId="44" fontId="28" fillId="7" borderId="2" xfId="0" applyNumberFormat="1" applyFont="1" applyFill="1" applyBorder="1" applyProtection="1"/>
    <xf numFmtId="44" fontId="12" fillId="7" borderId="14" xfId="0" applyNumberFormat="1" applyFont="1" applyFill="1" applyBorder="1" applyAlignment="1" applyProtection="1"/>
    <xf numFmtId="9" fontId="11" fillId="7" borderId="0" xfId="0" applyNumberFormat="1" applyFont="1" applyFill="1" applyBorder="1" applyAlignment="1" applyProtection="1">
      <alignment horizontal="center"/>
    </xf>
    <xf numFmtId="0" fontId="28" fillId="7" borderId="4" xfId="0" applyFont="1" applyFill="1" applyBorder="1" applyAlignment="1" applyProtection="1">
      <alignment horizontal="center"/>
    </xf>
    <xf numFmtId="44" fontId="28" fillId="7" borderId="4" xfId="2" applyFont="1" applyFill="1" applyBorder="1" applyAlignment="1" applyProtection="1"/>
    <xf numFmtId="44" fontId="28" fillId="7" borderId="0" xfId="2" applyFont="1" applyFill="1" applyBorder="1" applyAlignment="1" applyProtection="1"/>
    <xf numFmtId="44" fontId="28" fillId="7" borderId="0" xfId="2" applyFont="1" applyFill="1" applyBorder="1" applyProtection="1"/>
    <xf numFmtId="168" fontId="28" fillId="7" borderId="5" xfId="0" applyNumberFormat="1" applyFont="1" applyFill="1" applyBorder="1" applyProtection="1"/>
    <xf numFmtId="44" fontId="28" fillId="7" borderId="0" xfId="0" applyNumberFormat="1" applyFont="1" applyFill="1" applyBorder="1" applyProtection="1"/>
    <xf numFmtId="44" fontId="12" fillId="7" borderId="15" xfId="0" applyNumberFormat="1" applyFont="1" applyFill="1" applyBorder="1" applyAlignment="1" applyProtection="1"/>
    <xf numFmtId="0" fontId="28" fillId="7" borderId="6" xfId="0" applyFont="1" applyFill="1" applyBorder="1" applyAlignment="1" applyProtection="1">
      <alignment horizontal="center"/>
    </xf>
    <xf numFmtId="44" fontId="28" fillId="7" borderId="6" xfId="2" applyFont="1" applyFill="1" applyBorder="1" applyAlignment="1" applyProtection="1"/>
    <xf numFmtId="44" fontId="28" fillId="7" borderId="7" xfId="2" applyFont="1" applyFill="1" applyBorder="1" applyAlignment="1" applyProtection="1"/>
    <xf numFmtId="44" fontId="28" fillId="7" borderId="7" xfId="2" applyFont="1" applyFill="1" applyBorder="1" applyProtection="1"/>
    <xf numFmtId="168" fontId="28" fillId="7" borderId="8" xfId="0" applyNumberFormat="1" applyFont="1" applyFill="1" applyBorder="1" applyProtection="1"/>
    <xf numFmtId="44" fontId="28" fillId="7" borderId="7" xfId="0" applyNumberFormat="1" applyFont="1" applyFill="1" applyBorder="1" applyProtection="1"/>
    <xf numFmtId="44" fontId="12" fillId="7" borderId="13" xfId="0" applyNumberFormat="1" applyFont="1" applyFill="1" applyBorder="1" applyAlignment="1" applyProtection="1"/>
    <xf numFmtId="0" fontId="28" fillId="7" borderId="0" xfId="0" applyFont="1" applyFill="1" applyBorder="1" applyAlignment="1" applyProtection="1">
      <alignment horizontal="center"/>
    </xf>
    <xf numFmtId="168" fontId="28" fillId="7" borderId="0" xfId="0" applyNumberFormat="1" applyFont="1" applyFill="1" applyBorder="1" applyProtection="1"/>
    <xf numFmtId="0" fontId="28" fillId="7" borderId="0" xfId="0" applyFont="1" applyFill="1" applyBorder="1" applyProtection="1"/>
    <xf numFmtId="44" fontId="12" fillId="7" borderId="0" xfId="0" applyNumberFormat="1" applyFont="1" applyFill="1" applyBorder="1" applyAlignment="1" applyProtection="1"/>
    <xf numFmtId="44" fontId="11" fillId="7" borderId="0" xfId="2" applyFont="1" applyFill="1" applyBorder="1" applyAlignment="1" applyProtection="1">
      <alignment horizontal="center"/>
    </xf>
    <xf numFmtId="44" fontId="11" fillId="7" borderId="5" xfId="0" applyNumberFormat="1" applyFont="1" applyFill="1" applyBorder="1" applyProtection="1"/>
    <xf numFmtId="0" fontId="28" fillId="7" borderId="15" xfId="0" applyFont="1" applyFill="1" applyBorder="1" applyAlignment="1" applyProtection="1">
      <alignment horizontal="center"/>
    </xf>
    <xf numFmtId="44" fontId="28" fillId="7" borderId="1" xfId="2" applyFont="1" applyFill="1" applyBorder="1" applyProtection="1"/>
    <xf numFmtId="44" fontId="28" fillId="7" borderId="2" xfId="2" applyFont="1" applyFill="1" applyBorder="1" applyAlignment="1" applyProtection="1"/>
    <xf numFmtId="44" fontId="28" fillId="7" borderId="3" xfId="2" applyFont="1" applyFill="1" applyBorder="1" applyAlignment="1" applyProtection="1"/>
    <xf numFmtId="44" fontId="28" fillId="7" borderId="1" xfId="0" applyNumberFormat="1" applyFont="1" applyFill="1" applyBorder="1" applyProtection="1"/>
    <xf numFmtId="44" fontId="28" fillId="7" borderId="3" xfId="2" applyFont="1" applyFill="1" applyBorder="1" applyProtection="1"/>
    <xf numFmtId="44" fontId="28" fillId="7" borderId="14" xfId="0" applyNumberFormat="1" applyFont="1" applyFill="1" applyBorder="1" applyProtection="1"/>
    <xf numFmtId="44" fontId="28" fillId="7" borderId="4" xfId="2" applyFont="1" applyFill="1" applyBorder="1" applyProtection="1"/>
    <xf numFmtId="44" fontId="28" fillId="7" borderId="5" xfId="2" applyFont="1" applyFill="1" applyBorder="1" applyAlignment="1" applyProtection="1"/>
    <xf numFmtId="44" fontId="28" fillId="7" borderId="4" xfId="0" applyNumberFormat="1" applyFont="1" applyFill="1" applyBorder="1" applyProtection="1"/>
    <xf numFmtId="44" fontId="28" fillId="7" borderId="5" xfId="2" applyFont="1" applyFill="1" applyBorder="1" applyProtection="1"/>
    <xf numFmtId="44" fontId="28" fillId="7" borderId="15" xfId="0" applyNumberFormat="1" applyFont="1" applyFill="1" applyBorder="1" applyProtection="1"/>
    <xf numFmtId="0" fontId="28" fillId="7" borderId="13" xfId="0" applyFont="1" applyFill="1" applyBorder="1" applyAlignment="1" applyProtection="1">
      <alignment horizontal="center"/>
    </xf>
    <xf numFmtId="44" fontId="28" fillId="7" borderId="6" xfId="2" applyFont="1" applyFill="1" applyBorder="1" applyProtection="1"/>
    <xf numFmtId="44" fontId="28" fillId="7" borderId="8" xfId="2" applyFont="1" applyFill="1" applyBorder="1" applyAlignment="1" applyProtection="1"/>
    <xf numFmtId="44" fontId="28" fillId="7" borderId="6" xfId="0" applyNumberFormat="1" applyFont="1" applyFill="1" applyBorder="1" applyProtection="1"/>
    <xf numFmtId="44" fontId="28" fillId="7" borderId="8" xfId="2" applyFont="1" applyFill="1" applyBorder="1" applyProtection="1"/>
    <xf numFmtId="44" fontId="28" fillId="7" borderId="13" xfId="0" applyNumberFormat="1" applyFont="1" applyFill="1" applyBorder="1" applyProtection="1"/>
    <xf numFmtId="44" fontId="8" fillId="7" borderId="0" xfId="0" applyNumberFormat="1" applyFont="1" applyFill="1" applyBorder="1" applyAlignment="1" applyProtection="1"/>
    <xf numFmtId="44" fontId="8" fillId="7" borderId="5" xfId="0" applyNumberFormat="1" applyFont="1" applyFill="1" applyBorder="1" applyAlignment="1" applyProtection="1"/>
    <xf numFmtId="0" fontId="12" fillId="7" borderId="0" xfId="0" applyFont="1" applyFill="1" applyBorder="1" applyProtection="1"/>
    <xf numFmtId="9" fontId="0" fillId="0" borderId="0" xfId="0" applyNumberFormat="1" applyProtection="1"/>
    <xf numFmtId="9" fontId="0" fillId="0" borderId="0" xfId="3" applyFont="1" applyProtection="1"/>
    <xf numFmtId="44" fontId="0" fillId="0" borderId="0" xfId="0" applyNumberFormat="1" applyProtection="1"/>
    <xf numFmtId="168" fontId="0" fillId="0" borderId="0" xfId="0" applyNumberFormat="1" applyProtection="1"/>
    <xf numFmtId="0" fontId="26" fillId="0" borderId="19" xfId="0" applyFont="1" applyBorder="1" applyAlignment="1" applyProtection="1">
      <alignment vertical="center" wrapText="1"/>
    </xf>
    <xf numFmtId="0" fontId="20" fillId="0" borderId="0" xfId="0" applyFont="1" applyProtection="1"/>
    <xf numFmtId="10" fontId="0" fillId="0" borderId="0" xfId="3" applyNumberFormat="1" applyFont="1" applyProtection="1"/>
    <xf numFmtId="0" fontId="20" fillId="0" borderId="19" xfId="0" applyFont="1" applyBorder="1" applyProtection="1"/>
    <xf numFmtId="0" fontId="0" fillId="0" borderId="19" xfId="0" applyBorder="1" applyProtection="1"/>
    <xf numFmtId="10" fontId="1" fillId="0" borderId="19" xfId="3" applyNumberFormat="1" applyFont="1" applyBorder="1" applyProtection="1"/>
    <xf numFmtId="169" fontId="16" fillId="3" borderId="9" xfId="0" applyNumberFormat="1" applyFont="1" applyFill="1" applyBorder="1" applyAlignment="1" applyProtection="1">
      <alignment vertical="center"/>
      <protection locked="0"/>
    </xf>
    <xf numFmtId="168" fontId="16" fillId="3" borderId="9" xfId="0" applyNumberFormat="1" applyFont="1" applyFill="1" applyBorder="1" applyAlignment="1" applyProtection="1">
      <alignment vertical="center"/>
      <protection locked="0"/>
    </xf>
    <xf numFmtId="0" fontId="4" fillId="7" borderId="0" xfId="0" applyFont="1" applyFill="1" applyBorder="1" applyAlignment="1" applyProtection="1">
      <alignment horizontal="left" vertical="center"/>
    </xf>
    <xf numFmtId="168" fontId="13" fillId="5" borderId="0" xfId="2" applyNumberFormat="1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wrapText="1"/>
    </xf>
    <xf numFmtId="0" fontId="3" fillId="7" borderId="0" xfId="0" applyFont="1" applyFill="1" applyBorder="1" applyAlignment="1" applyProtection="1">
      <alignment horizontal="center" wrapText="1"/>
    </xf>
    <xf numFmtId="0" fontId="18" fillId="7" borderId="4" xfId="0" applyFont="1" applyFill="1" applyBorder="1" applyAlignment="1" applyProtection="1">
      <alignment horizontal="center"/>
    </xf>
    <xf numFmtId="0" fontId="18" fillId="7" borderId="0" xfId="0" applyFont="1" applyFill="1" applyBorder="1" applyAlignment="1" applyProtection="1">
      <alignment horizontal="center"/>
    </xf>
    <xf numFmtId="165" fontId="4" fillId="7" borderId="0" xfId="1" applyNumberFormat="1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 vertical="center"/>
    </xf>
    <xf numFmtId="44" fontId="10" fillId="7" borderId="0" xfId="2" applyFont="1" applyFill="1" applyBorder="1" applyAlignment="1" applyProtection="1">
      <alignment horizontal="center"/>
    </xf>
    <xf numFmtId="44" fontId="13" fillId="7" borderId="0" xfId="2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left" vertical="center" indent="1"/>
    </xf>
    <xf numFmtId="0" fontId="5" fillId="7" borderId="2" xfId="0" applyFont="1" applyFill="1" applyBorder="1" applyAlignment="1" applyProtection="1">
      <alignment horizontal="left" vertical="center" indent="1"/>
    </xf>
    <xf numFmtId="0" fontId="3" fillId="7" borderId="4" xfId="0" applyFont="1" applyFill="1" applyBorder="1" applyAlignment="1" applyProtection="1">
      <alignment horizontal="left" vertical="center" indent="3"/>
    </xf>
    <xf numFmtId="0" fontId="3" fillId="7" borderId="0" xfId="0" applyFont="1" applyFill="1" applyBorder="1" applyAlignment="1" applyProtection="1">
      <alignment horizontal="left" vertical="center" indent="3"/>
    </xf>
    <xf numFmtId="0" fontId="3" fillId="7" borderId="6" xfId="0" applyFont="1" applyFill="1" applyBorder="1" applyAlignment="1" applyProtection="1">
      <alignment horizontal="left" vertical="center" indent="3"/>
    </xf>
    <xf numFmtId="0" fontId="3" fillId="7" borderId="7" xfId="0" applyFont="1" applyFill="1" applyBorder="1" applyAlignment="1" applyProtection="1">
      <alignment horizontal="left" vertical="center" indent="3"/>
    </xf>
    <xf numFmtId="44" fontId="4" fillId="7" borderId="2" xfId="2" applyFont="1" applyFill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44" fontId="8" fillId="7" borderId="11" xfId="0" applyNumberFormat="1" applyFont="1" applyFill="1" applyBorder="1" applyAlignment="1" applyProtection="1">
      <alignment horizontal="center"/>
    </xf>
    <xf numFmtId="44" fontId="8" fillId="7" borderId="12" xfId="0" applyNumberFormat="1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8" xfId="0" applyFont="1" applyFill="1" applyBorder="1" applyAlignment="1" applyProtection="1">
      <alignment horizontal="center" vertical="center"/>
    </xf>
    <xf numFmtId="0" fontId="12" fillId="7" borderId="7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0"/>
      <c:rotY val="5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38652012936579"/>
          <c:y val="2.5800811556068379E-2"/>
          <c:w val="0.80757988640352774"/>
          <c:h val="0.88942290566900772"/>
        </c:manualLayout>
      </c:layout>
      <c:bar3DChart>
        <c:barDir val="col"/>
        <c:grouping val="standard"/>
        <c:varyColors val="0"/>
        <c:ser>
          <c:idx val="1"/>
          <c:order val="0"/>
          <c:tx>
            <c:v>Fernwärme</c:v>
          </c:tx>
          <c:spPr>
            <a:ln w="25400">
              <a:noFill/>
            </a:ln>
          </c:spPr>
          <c:invertIfNegative val="0"/>
          <c:val>
            <c:numRef>
              <c:f>Heizkostenvergleich!$Q$87:$Q$97</c:f>
              <c:numCache>
                <c:formatCode>_("€"* #,##0.00_);_("€"* \(#,##0.00\);_("€"* "-"??_);_(@_)</c:formatCode>
                <c:ptCount val="11"/>
                <c:pt idx="0">
                  <c:v>1176.8612295081969</c:v>
                </c:pt>
                <c:pt idx="1">
                  <c:v>1187.8189153278688</c:v>
                </c:pt>
                <c:pt idx="2">
                  <c:v>1199.0064745497539</c:v>
                </c:pt>
                <c:pt idx="3">
                  <c:v>1210.4287297552987</c:v>
                </c:pt>
                <c:pt idx="4">
                  <c:v>1222.09060470496</c:v>
                </c:pt>
                <c:pt idx="5">
                  <c:v>1233.9971264610599</c:v>
                </c:pt>
                <c:pt idx="6">
                  <c:v>1246.1534275551844</c:v>
                </c:pt>
                <c:pt idx="7">
                  <c:v>1258.5647482010538</c:v>
                </c:pt>
                <c:pt idx="8">
                  <c:v>1271.2364385538308</c:v>
                </c:pt>
                <c:pt idx="9">
                  <c:v>1284.1739610168274</c:v>
                </c:pt>
                <c:pt idx="10">
                  <c:v>1297.098460565282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D-42BD-88D3-9EF6F0A1B56E}"/>
            </c:ext>
          </c:extLst>
        </c:ser>
        <c:ser>
          <c:idx val="0"/>
          <c:order val="1"/>
          <c:tx>
            <c:v>Konventionell</c:v>
          </c:tx>
          <c:invertIfNegative val="0"/>
          <c:cat>
            <c:numRef>
              <c:f>Heizkostenvergleich!$J$72:$J$82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Heizkostenvergleich!$Q$72:$Q$82</c:f>
              <c:numCache>
                <c:formatCode>_("€"* #,##0.00_);_("€"* \(#,##0.00\);_("€"* "-"??_);_(@_)</c:formatCode>
                <c:ptCount val="11"/>
                <c:pt idx="0">
                  <c:v>1473.22</c:v>
                </c:pt>
                <c:pt idx="1">
                  <c:v>1501.1374000000001</c:v>
                </c:pt>
                <c:pt idx="2">
                  <c:v>1529.7952180000002</c:v>
                </c:pt>
                <c:pt idx="3">
                  <c:v>1559.2137244599999</c:v>
                </c:pt>
                <c:pt idx="4">
                  <c:v>1589.4137591122003</c:v>
                </c:pt>
                <c:pt idx="5">
                  <c:v>1620.4167472623342</c:v>
                </c:pt>
                <c:pt idx="6">
                  <c:v>1652.2447165645076</c:v>
                </c:pt>
                <c:pt idx="7">
                  <c:v>1684.9203142834324</c:v>
                </c:pt>
                <c:pt idx="8">
                  <c:v>1718.4668250583643</c:v>
                </c:pt>
                <c:pt idx="9">
                  <c:v>1752.908189183473</c:v>
                </c:pt>
                <c:pt idx="10">
                  <c:v>1788.2690214198024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D-42BD-88D3-9EF6F0A1B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138432"/>
        <c:axId val="43148416"/>
        <c:axId val="43144064"/>
      </c:bar3DChart>
      <c:catAx>
        <c:axId val="431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148416"/>
        <c:crosses val="autoZero"/>
        <c:auto val="1"/>
        <c:lblAlgn val="ctr"/>
        <c:lblOffset val="100"/>
        <c:noMultiLvlLbl val="0"/>
      </c:catAx>
      <c:valAx>
        <c:axId val="4314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Kosten</a:t>
                </a:r>
                <a:r>
                  <a:rPr lang="de-DE" baseline="0"/>
                  <a:t> pro Jahr</a:t>
                </a:r>
                <a:endParaRPr lang="de-DE"/>
              </a:p>
            </c:rich>
          </c:tx>
          <c:overlay val="0"/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43138432"/>
        <c:crosses val="autoZero"/>
        <c:crossBetween val="between"/>
      </c:valAx>
      <c:serAx>
        <c:axId val="4314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43148416"/>
        <c:crosses val="autoZero"/>
      </c:serAx>
    </c:plotArea>
    <c:legend>
      <c:legendPos val="r"/>
      <c:layout>
        <c:manualLayout>
          <c:xMode val="edge"/>
          <c:yMode val="edge"/>
          <c:x val="0.79080484792342132"/>
          <c:y val="4.1315817823330013E-2"/>
          <c:w val="0.1772527516740387"/>
          <c:h val="0.15290526189636003"/>
        </c:manualLayout>
      </c:layout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419552</xdr:colOff>
      <xdr:row>18</xdr:row>
      <xdr:rowOff>190501</xdr:rowOff>
    </xdr:from>
    <xdr:to>
      <xdr:col>5</xdr:col>
      <xdr:colOff>1219200</xdr:colOff>
      <xdr:row>25</xdr:row>
      <xdr:rowOff>44815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48670" y="4639236"/>
          <a:ext cx="2323648" cy="17144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500" baseline="0"/>
            <a:t>Kessel</a:t>
          </a:r>
        </a:p>
      </xdr:txBody>
    </xdr:sp>
    <xdr:clientData/>
  </xdr:twoCellAnchor>
  <xdr:twoCellAnchor>
    <xdr:from>
      <xdr:col>2</xdr:col>
      <xdr:colOff>428626</xdr:colOff>
      <xdr:row>20</xdr:row>
      <xdr:rowOff>199998</xdr:rowOff>
    </xdr:from>
    <xdr:to>
      <xdr:col>3</xdr:col>
      <xdr:colOff>400461</xdr:colOff>
      <xdr:row>22</xdr:row>
      <xdr:rowOff>113545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94891" y="5164204"/>
          <a:ext cx="834688" cy="5298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414779</xdr:colOff>
      <xdr:row>20</xdr:row>
      <xdr:rowOff>193608</xdr:rowOff>
    </xdr:from>
    <xdr:to>
      <xdr:col>5</xdr:col>
      <xdr:colOff>21285</xdr:colOff>
      <xdr:row>22</xdr:row>
      <xdr:rowOff>97544</xdr:rowOff>
    </xdr:to>
    <xdr:sp macro="" textlink="">
      <xdr:nvSpPr>
        <xdr:cNvPr id="5" name="Gleichschenkliges Drei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2849020" y="4852691"/>
          <a:ext cx="520259" cy="1130506"/>
        </a:xfrm>
        <a:prstGeom prst="triangl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414779</xdr:colOff>
      <xdr:row>21</xdr:row>
      <xdr:rowOff>43192</xdr:rowOff>
    </xdr:from>
    <xdr:to>
      <xdr:col>4</xdr:col>
      <xdr:colOff>313483</xdr:colOff>
      <xdr:row>22</xdr:row>
      <xdr:rowOff>16360</xdr:rowOff>
    </xdr:to>
    <xdr:sp macro="" textlink="">
      <xdr:nvSpPr>
        <xdr:cNvPr id="6" name="Gleichschenkliges Drei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2713974" y="5106262"/>
          <a:ext cx="320550" cy="660704"/>
        </a:xfrm>
        <a:prstGeom prst="triangle">
          <a:avLst/>
        </a:prstGeom>
        <a:solidFill>
          <a:srgbClr val="FF0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66674</xdr:colOff>
      <xdr:row>21</xdr:row>
      <xdr:rowOff>299759</xdr:rowOff>
    </xdr:from>
    <xdr:to>
      <xdr:col>8</xdr:col>
      <xdr:colOff>495300</xdr:colOff>
      <xdr:row>26</xdr:row>
      <xdr:rowOff>33620</xdr:rowOff>
    </xdr:to>
    <xdr:sp macro="" textlink="">
      <xdr:nvSpPr>
        <xdr:cNvPr id="8" name="Pfeil nach recht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053292" y="5532906"/>
          <a:ext cx="1952626" cy="1000126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Wirkungsgrad Kesselanlage</a:t>
          </a:r>
        </a:p>
      </xdr:txBody>
    </xdr:sp>
    <xdr:clientData/>
  </xdr:twoCellAnchor>
  <xdr:twoCellAnchor>
    <xdr:from>
      <xdr:col>6</xdr:col>
      <xdr:colOff>66674</xdr:colOff>
      <xdr:row>17</xdr:row>
      <xdr:rowOff>188820</xdr:rowOff>
    </xdr:from>
    <xdr:to>
      <xdr:col>8</xdr:col>
      <xdr:colOff>647700</xdr:colOff>
      <xdr:row>21</xdr:row>
      <xdr:rowOff>280709</xdr:rowOff>
    </xdr:to>
    <xdr:sp macro="" textlink="">
      <xdr:nvSpPr>
        <xdr:cNvPr id="9" name="Pfeil nach recht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53292" y="4391026"/>
          <a:ext cx="2105026" cy="112283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Brennwert</a:t>
          </a:r>
          <a:r>
            <a:rPr lang="de-DE" sz="1100" baseline="0"/>
            <a:t> / Heizwertverluste</a:t>
          </a:r>
          <a:endParaRPr lang="de-DE" sz="1100"/>
        </a:p>
      </xdr:txBody>
    </xdr:sp>
    <xdr:clientData/>
  </xdr:twoCellAnchor>
  <xdr:twoCellAnchor>
    <xdr:from>
      <xdr:col>3</xdr:col>
      <xdr:colOff>692525</xdr:colOff>
      <xdr:row>25</xdr:row>
      <xdr:rowOff>167526</xdr:rowOff>
    </xdr:from>
    <xdr:to>
      <xdr:col>5</xdr:col>
      <xdr:colOff>921124</xdr:colOff>
      <xdr:row>31</xdr:row>
      <xdr:rowOff>156881</xdr:rowOff>
    </xdr:to>
    <xdr:sp macro="" textlink="">
      <xdr:nvSpPr>
        <xdr:cNvPr id="10" name="Pfeil nach unt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21643" y="6476438"/>
          <a:ext cx="1752599" cy="1188384"/>
        </a:xfrm>
        <a:prstGeom prst="downArrow">
          <a:avLst>
            <a:gd name="adj1" fmla="val 50000"/>
            <a:gd name="adj2" fmla="val 55376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Nutzwärme</a:t>
          </a:r>
        </a:p>
      </xdr:txBody>
    </xdr:sp>
    <xdr:clientData/>
  </xdr:twoCellAnchor>
  <xdr:twoCellAnchor>
    <xdr:from>
      <xdr:col>3</xdr:col>
      <xdr:colOff>638176</xdr:colOff>
      <xdr:row>15</xdr:row>
      <xdr:rowOff>79563</xdr:rowOff>
    </xdr:from>
    <xdr:to>
      <xdr:col>5</xdr:col>
      <xdr:colOff>866775</xdr:colOff>
      <xdr:row>18</xdr:row>
      <xdr:rowOff>85167</xdr:rowOff>
    </xdr:to>
    <xdr:sp macro="" textlink="">
      <xdr:nvSpPr>
        <xdr:cNvPr id="11" name="Pfeil nach unt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767294" y="3889563"/>
          <a:ext cx="1752599" cy="644339"/>
        </a:xfrm>
        <a:prstGeom prst="downArrow">
          <a:avLst>
            <a:gd name="adj1" fmla="val 50000"/>
            <a:gd name="adj2" fmla="val 55376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Brennstoff</a:t>
          </a:r>
        </a:p>
        <a:p>
          <a:pPr algn="l"/>
          <a:endParaRPr lang="de-DE" sz="1100"/>
        </a:p>
      </xdr:txBody>
    </xdr:sp>
    <xdr:clientData/>
  </xdr:twoCellAnchor>
  <xdr:oneCellAnchor>
    <xdr:from>
      <xdr:col>6</xdr:col>
      <xdr:colOff>144808</xdr:colOff>
      <xdr:row>26</xdr:row>
      <xdr:rowOff>76492</xdr:rowOff>
    </xdr:from>
    <xdr:ext cx="4695164" cy="864347"/>
    <xdr:sp macro="" textlink="">
      <xdr:nvSpPr>
        <xdr:cNvPr id="12" name="Pfeil nach unt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4854940">
          <a:off x="7802430" y="4474798"/>
          <a:ext cx="864347" cy="4695164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vert="vert" wrap="square" rtlCol="0" anchor="t">
          <a:spAutoFit/>
        </a:bodyPr>
        <a:lstStyle/>
        <a:p>
          <a:pPr algn="l"/>
          <a:r>
            <a:rPr lang="de-DE" sz="1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Nur die</a:t>
          </a:r>
          <a:r>
            <a:rPr lang="de-DE" sz="16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 Nutzwärme wird gemessen und berechnet</a:t>
          </a:r>
          <a:r>
            <a:rPr lang="de-DE" sz="1100" baseline="0"/>
            <a:t>.</a:t>
          </a:r>
          <a:endParaRPr lang="de-DE" sz="1100"/>
        </a:p>
      </xdr:txBody>
    </xdr:sp>
    <xdr:clientData/>
  </xdr:oneCellAnchor>
  <xdr:twoCellAnchor>
    <xdr:from>
      <xdr:col>1</xdr:col>
      <xdr:colOff>1154206</xdr:colOff>
      <xdr:row>76</xdr:row>
      <xdr:rowOff>24715</xdr:rowOff>
    </xdr:from>
    <xdr:to>
      <xdr:col>8</xdr:col>
      <xdr:colOff>392206</xdr:colOff>
      <xdr:row>98</xdr:row>
      <xdr:rowOff>201706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1094980</xdr:colOff>
      <xdr:row>100</xdr:row>
      <xdr:rowOff>128066</xdr:rowOff>
    </xdr:from>
    <xdr:to>
      <xdr:col>17</xdr:col>
      <xdr:colOff>437784</xdr:colOff>
      <xdr:row>104</xdr:row>
      <xdr:rowOff>33618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055" t="48551" r="51159" b="33245"/>
        <a:stretch/>
      </xdr:blipFill>
      <xdr:spPr>
        <a:xfrm>
          <a:off x="14329127" y="26809272"/>
          <a:ext cx="4035027" cy="678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tabSelected="1" zoomScale="60" zoomScaleNormal="60" workbookViewId="0">
      <selection activeCell="G47" sqref="G47"/>
    </sheetView>
  </sheetViews>
  <sheetFormatPr baseColWidth="10" defaultRowHeight="15" x14ac:dyDescent="0.25"/>
  <cols>
    <col min="1" max="1" width="11.42578125" style="10"/>
    <col min="2" max="2" width="19" style="10" customWidth="1"/>
    <col min="3" max="3" width="12.85546875" style="10" bestFit="1" customWidth="1"/>
    <col min="4" max="4" width="12.140625" style="10" bestFit="1" customWidth="1"/>
    <col min="5" max="5" width="11.42578125" style="10"/>
    <col min="6" max="6" width="20" style="10" customWidth="1"/>
    <col min="7" max="7" width="21.7109375" style="10" customWidth="1"/>
    <col min="8" max="8" width="11.42578125" style="10"/>
    <col min="9" max="9" width="10.140625" style="10" customWidth="1"/>
    <col min="10" max="10" width="15.28515625" style="10" customWidth="1"/>
    <col min="11" max="12" width="18.5703125" style="10" customWidth="1"/>
    <col min="13" max="14" width="15.28515625" style="10" customWidth="1"/>
    <col min="15" max="15" width="16.7109375" style="10" customWidth="1"/>
    <col min="16" max="16" width="15.28515625" style="10" customWidth="1"/>
    <col min="17" max="17" width="21.7109375" style="10" customWidth="1"/>
    <col min="18" max="18" width="13.85546875" style="10" customWidth="1"/>
    <col min="19" max="19" width="3.140625" style="10" customWidth="1"/>
    <col min="20" max="20" width="3.7109375" style="10" customWidth="1"/>
    <col min="21" max="21" width="11.42578125" style="10"/>
    <col min="22" max="25" width="0" style="10" hidden="1" customWidth="1"/>
    <col min="26" max="16384" width="11.42578125" style="10"/>
  </cols>
  <sheetData>
    <row r="1" spans="1:2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4" ht="30" x14ac:dyDescent="0.25">
      <c r="A2" s="9"/>
      <c r="B2" s="11" t="s">
        <v>52</v>
      </c>
      <c r="C2" s="11"/>
      <c r="D2" s="11"/>
      <c r="E2" s="11"/>
      <c r="F2" s="11"/>
      <c r="G2" s="11"/>
      <c r="H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9"/>
      <c r="U2" s="9"/>
    </row>
    <row r="3" spans="1:24" ht="15.75" thickBot="1" x14ac:dyDescent="0.3">
      <c r="A3" s="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9"/>
      <c r="U3" s="9"/>
    </row>
    <row r="4" spans="1:24" ht="24" thickBot="1" x14ac:dyDescent="0.35">
      <c r="A4" s="9"/>
      <c r="B4" s="13" t="s">
        <v>49</v>
      </c>
      <c r="C4" s="14"/>
      <c r="D4" s="15"/>
      <c r="E4" s="15"/>
      <c r="F4" s="15"/>
      <c r="G4" s="15"/>
      <c r="H4" s="15"/>
      <c r="I4" s="15"/>
      <c r="J4" s="16"/>
      <c r="K4" s="17"/>
      <c r="L4" s="178" t="s">
        <v>38</v>
      </c>
      <c r="M4" s="178"/>
      <c r="N4" s="178"/>
      <c r="O4" s="178"/>
      <c r="P4" s="178"/>
      <c r="Q4" s="178"/>
      <c r="R4" s="178"/>
      <c r="S4" s="15"/>
      <c r="T4" s="18"/>
      <c r="U4" s="9"/>
    </row>
    <row r="5" spans="1:24" ht="24" thickBot="1" x14ac:dyDescent="0.3">
      <c r="A5" s="9"/>
      <c r="B5" s="19"/>
      <c r="C5" s="185" t="s">
        <v>17</v>
      </c>
      <c r="D5" s="185"/>
      <c r="E5" s="185"/>
      <c r="F5" s="185"/>
      <c r="G5" s="185"/>
      <c r="H5" s="185"/>
      <c r="I5" s="185"/>
      <c r="J5" s="20"/>
      <c r="K5" s="19"/>
      <c r="L5" s="179" t="s">
        <v>0</v>
      </c>
      <c r="M5" s="179"/>
      <c r="N5" s="179"/>
      <c r="O5" s="179"/>
      <c r="P5" s="179"/>
      <c r="Q5" s="179"/>
      <c r="R5" s="179"/>
      <c r="S5" s="21"/>
      <c r="T5" s="22"/>
      <c r="U5" s="9"/>
    </row>
    <row r="6" spans="1:24" ht="18.75" thickBot="1" x14ac:dyDescent="0.3">
      <c r="A6" s="9"/>
      <c r="B6" s="19"/>
      <c r="C6" s="21"/>
      <c r="D6" s="21"/>
      <c r="E6" s="21"/>
      <c r="F6" s="21"/>
      <c r="G6" s="21"/>
      <c r="H6" s="21"/>
      <c r="I6" s="21"/>
      <c r="J6" s="20"/>
      <c r="K6" s="19"/>
      <c r="L6" s="188" t="s">
        <v>1</v>
      </c>
      <c r="M6" s="189"/>
      <c r="N6" s="23"/>
      <c r="O6" s="24"/>
      <c r="P6" s="25"/>
      <c r="Q6" s="25"/>
      <c r="R6" s="26"/>
      <c r="S6" s="21"/>
      <c r="T6" s="22"/>
      <c r="U6" s="9"/>
    </row>
    <row r="7" spans="1:24" ht="18.75" thickBot="1" x14ac:dyDescent="0.3">
      <c r="A7" s="9"/>
      <c r="B7" s="19"/>
      <c r="C7" s="27" t="s">
        <v>18</v>
      </c>
      <c r="D7" s="21"/>
      <c r="E7" s="21"/>
      <c r="F7" s="1" t="s">
        <v>19</v>
      </c>
      <c r="G7" s="21"/>
      <c r="H7" s="21"/>
      <c r="I7" s="21"/>
      <c r="J7" s="20"/>
      <c r="K7" s="19"/>
      <c r="L7" s="190" t="s">
        <v>2</v>
      </c>
      <c r="M7" s="191"/>
      <c r="N7" s="28"/>
      <c r="O7" s="28"/>
      <c r="P7" s="29"/>
      <c r="Q7" s="30">
        <v>250</v>
      </c>
      <c r="R7" s="31" t="s">
        <v>3</v>
      </c>
      <c r="S7" s="21"/>
      <c r="T7" s="22"/>
      <c r="U7" s="9"/>
    </row>
    <row r="8" spans="1:24" ht="18.75" thickBot="1" x14ac:dyDescent="0.3">
      <c r="A8" s="9"/>
      <c r="B8" s="19"/>
      <c r="C8" s="27"/>
      <c r="D8" s="21"/>
      <c r="E8" s="21"/>
      <c r="F8" s="32"/>
      <c r="G8" s="21"/>
      <c r="H8" s="21"/>
      <c r="I8" s="21"/>
      <c r="J8" s="20"/>
      <c r="K8" s="19"/>
      <c r="L8" s="190" t="s">
        <v>4</v>
      </c>
      <c r="M8" s="191"/>
      <c r="N8" s="28"/>
      <c r="O8" s="28"/>
      <c r="P8" s="29"/>
      <c r="Q8" s="30">
        <v>10</v>
      </c>
      <c r="R8" s="31" t="s">
        <v>5</v>
      </c>
      <c r="S8" s="21"/>
      <c r="T8" s="22"/>
      <c r="U8" s="9"/>
      <c r="W8" s="10" t="s">
        <v>51</v>
      </c>
    </row>
    <row r="9" spans="1:24" ht="18.75" thickBot="1" x14ac:dyDescent="0.3">
      <c r="A9" s="9"/>
      <c r="B9" s="19"/>
      <c r="C9" s="27" t="s">
        <v>40</v>
      </c>
      <c r="D9" s="21"/>
      <c r="E9" s="21"/>
      <c r="F9" s="2">
        <v>10000</v>
      </c>
      <c r="G9" s="182" t="str">
        <f>+IF(F7="Gas","kWh/a","Liter")</f>
        <v>kWh/a</v>
      </c>
      <c r="H9" s="183"/>
      <c r="I9" s="21"/>
      <c r="J9" s="20"/>
      <c r="K9" s="19"/>
      <c r="L9" s="192" t="s">
        <v>6</v>
      </c>
      <c r="M9" s="193"/>
      <c r="N9" s="33"/>
      <c r="O9" s="33"/>
      <c r="P9" s="34"/>
      <c r="Q9" s="35">
        <v>59</v>
      </c>
      <c r="R9" s="36" t="s">
        <v>7</v>
      </c>
      <c r="S9" s="21"/>
      <c r="T9" s="22"/>
      <c r="U9" s="9"/>
    </row>
    <row r="10" spans="1:24" ht="18.75" thickBot="1" x14ac:dyDescent="0.3">
      <c r="A10" s="9"/>
      <c r="B10" s="19"/>
      <c r="C10" s="27"/>
      <c r="D10" s="21"/>
      <c r="E10" s="21"/>
      <c r="F10" s="32"/>
      <c r="G10" s="37"/>
      <c r="H10" s="37"/>
      <c r="I10" s="21"/>
      <c r="J10" s="20"/>
      <c r="K10" s="19"/>
      <c r="L10" s="38"/>
      <c r="M10" s="39"/>
      <c r="N10" s="38"/>
      <c r="O10" s="40" t="s">
        <v>8</v>
      </c>
      <c r="P10" s="41" t="s">
        <v>9</v>
      </c>
      <c r="Q10" s="42">
        <v>59</v>
      </c>
      <c r="R10" s="41" t="s">
        <v>7</v>
      </c>
      <c r="S10" s="21"/>
      <c r="T10" s="22"/>
      <c r="U10" s="9"/>
      <c r="W10" s="10">
        <f>+IF(R22&gt;=50,50,R22)</f>
        <v>7.2704918032786878</v>
      </c>
      <c r="X10" s="10">
        <f>+Q10*W10</f>
        <v>428.9590163934426</v>
      </c>
    </row>
    <row r="11" spans="1:24" ht="18.75" thickBot="1" x14ac:dyDescent="0.3">
      <c r="A11" s="9"/>
      <c r="B11" s="19"/>
      <c r="C11" s="27" t="s">
        <v>21</v>
      </c>
      <c r="D11" s="21"/>
      <c r="E11" s="21"/>
      <c r="F11" s="3">
        <v>5.0999999999999996</v>
      </c>
      <c r="G11" s="182" t="str">
        <f>+IF(G9="Liter","€ Cent/Liter","€ Cent/kWh")</f>
        <v>€ Cent/kWh</v>
      </c>
      <c r="H11" s="183"/>
      <c r="I11" s="21"/>
      <c r="J11" s="20"/>
      <c r="K11" s="19"/>
      <c r="L11" s="38"/>
      <c r="M11" s="39"/>
      <c r="N11" s="39"/>
      <c r="O11" s="40" t="s">
        <v>10</v>
      </c>
      <c r="P11" s="41" t="s">
        <v>9</v>
      </c>
      <c r="Q11" s="42">
        <v>59</v>
      </c>
      <c r="R11" s="41" t="s">
        <v>7</v>
      </c>
      <c r="S11" s="21"/>
      <c r="T11" s="22"/>
      <c r="U11" s="9"/>
      <c r="W11" s="10">
        <f>+IF(R22&gt;=100,50,IF(R22-50&gt;0,R22-50,0))</f>
        <v>0</v>
      </c>
      <c r="X11" s="10">
        <f t="shared" ref="X11:X17" si="0">+Q11*W11</f>
        <v>0</v>
      </c>
    </row>
    <row r="12" spans="1:24" ht="18.75" thickBot="1" x14ac:dyDescent="0.3">
      <c r="A12" s="9"/>
      <c r="B12" s="19"/>
      <c r="C12" s="27" t="s">
        <v>2</v>
      </c>
      <c r="D12" s="21"/>
      <c r="E12" s="21"/>
      <c r="F12" s="3">
        <v>138</v>
      </c>
      <c r="G12" s="182" t="s">
        <v>30</v>
      </c>
      <c r="H12" s="183"/>
      <c r="I12" s="21"/>
      <c r="J12" s="20"/>
      <c r="K12" s="19"/>
      <c r="L12" s="38"/>
      <c r="M12" s="39"/>
      <c r="N12" s="39"/>
      <c r="O12" s="40" t="s">
        <v>11</v>
      </c>
      <c r="P12" s="41" t="s">
        <v>12</v>
      </c>
      <c r="Q12" s="43"/>
      <c r="R12" s="41"/>
      <c r="S12" s="21"/>
      <c r="T12" s="22"/>
      <c r="U12" s="9"/>
    </row>
    <row r="13" spans="1:24" ht="18.75" thickBot="1" x14ac:dyDescent="0.3">
      <c r="A13" s="9"/>
      <c r="B13" s="19"/>
      <c r="C13" s="27" t="s">
        <v>4</v>
      </c>
      <c r="D13" s="44"/>
      <c r="E13" s="44"/>
      <c r="F13" s="3"/>
      <c r="G13" s="182" t="s">
        <v>30</v>
      </c>
      <c r="H13" s="183"/>
      <c r="I13" s="21"/>
      <c r="J13" s="20"/>
      <c r="K13" s="19"/>
      <c r="L13" s="38"/>
      <c r="M13" s="39"/>
      <c r="N13" s="39"/>
      <c r="O13" s="40" t="s">
        <v>10</v>
      </c>
      <c r="P13" s="41" t="s">
        <v>12</v>
      </c>
      <c r="Q13" s="42">
        <v>59</v>
      </c>
      <c r="R13" s="41" t="s">
        <v>7</v>
      </c>
      <c r="S13" s="21"/>
      <c r="T13" s="22"/>
      <c r="U13" s="9"/>
      <c r="W13" s="10">
        <f>+IF(R22&gt;=200,100,IF(R22-100&gt;0,R22-100,0))</f>
        <v>0</v>
      </c>
      <c r="X13" s="10">
        <f t="shared" si="0"/>
        <v>0</v>
      </c>
    </row>
    <row r="14" spans="1:24" x14ac:dyDescent="0.25">
      <c r="A14" s="9"/>
      <c r="B14" s="19"/>
      <c r="C14" s="44"/>
      <c r="D14" s="44"/>
      <c r="E14" s="44"/>
      <c r="F14" s="21"/>
      <c r="G14" s="21"/>
      <c r="H14" s="21"/>
      <c r="I14" s="21"/>
      <c r="J14" s="20"/>
      <c r="K14" s="19"/>
      <c r="L14" s="38"/>
      <c r="M14" s="39"/>
      <c r="N14" s="39"/>
      <c r="O14" s="40" t="s">
        <v>11</v>
      </c>
      <c r="P14" s="41" t="s">
        <v>13</v>
      </c>
      <c r="Q14" s="43"/>
      <c r="R14" s="41"/>
      <c r="S14" s="21"/>
      <c r="T14" s="22"/>
      <c r="U14" s="9"/>
    </row>
    <row r="15" spans="1:24" x14ac:dyDescent="0.25">
      <c r="A15" s="9"/>
      <c r="B15" s="19"/>
      <c r="C15" s="21"/>
      <c r="D15" s="21"/>
      <c r="E15" s="21"/>
      <c r="F15" s="21"/>
      <c r="G15" s="21"/>
      <c r="H15" s="21"/>
      <c r="I15" s="21"/>
      <c r="J15" s="20"/>
      <c r="K15" s="19"/>
      <c r="L15" s="38"/>
      <c r="M15" s="39"/>
      <c r="N15" s="39"/>
      <c r="O15" s="40" t="s">
        <v>10</v>
      </c>
      <c r="P15" s="41" t="s">
        <v>13</v>
      </c>
      <c r="Q15" s="42">
        <v>59</v>
      </c>
      <c r="R15" s="41" t="s">
        <v>7</v>
      </c>
      <c r="S15" s="21"/>
      <c r="T15" s="22"/>
      <c r="U15" s="9"/>
      <c r="W15" s="10">
        <f>+IF(R22&gt;=400,200,IF(R22-200&gt;0,R22-200,0))</f>
        <v>0</v>
      </c>
      <c r="X15" s="10">
        <f t="shared" si="0"/>
        <v>0</v>
      </c>
    </row>
    <row r="16" spans="1:24" x14ac:dyDescent="0.25">
      <c r="A16" s="9"/>
      <c r="B16" s="19"/>
      <c r="C16" s="21"/>
      <c r="D16" s="21"/>
      <c r="E16" s="21"/>
      <c r="F16" s="21"/>
      <c r="G16" s="21"/>
      <c r="H16" s="21"/>
      <c r="I16" s="21"/>
      <c r="J16" s="20"/>
      <c r="K16" s="19"/>
      <c r="L16" s="38"/>
      <c r="M16" s="39"/>
      <c r="N16" s="39"/>
      <c r="O16" s="40" t="s">
        <v>11</v>
      </c>
      <c r="P16" s="41" t="s">
        <v>14</v>
      </c>
      <c r="Q16" s="43"/>
      <c r="R16" s="41"/>
      <c r="S16" s="21"/>
      <c r="T16" s="22"/>
      <c r="U16" s="9"/>
    </row>
    <row r="17" spans="1:24" ht="15.75" thickBot="1" x14ac:dyDescent="0.3">
      <c r="A17" s="9"/>
      <c r="B17" s="19"/>
      <c r="C17" s="21"/>
      <c r="D17" s="21"/>
      <c r="E17" s="21"/>
      <c r="F17" s="21"/>
      <c r="G17" s="21"/>
      <c r="H17" s="21"/>
      <c r="I17" s="21"/>
      <c r="J17" s="20"/>
      <c r="K17" s="19"/>
      <c r="L17" s="38"/>
      <c r="M17" s="38"/>
      <c r="N17" s="38"/>
      <c r="O17" s="40" t="s">
        <v>15</v>
      </c>
      <c r="P17" s="41" t="s">
        <v>16</v>
      </c>
      <c r="Q17" s="42">
        <v>59</v>
      </c>
      <c r="R17" s="41" t="s">
        <v>7</v>
      </c>
      <c r="S17" s="21"/>
      <c r="T17" s="22"/>
      <c r="U17" s="9"/>
      <c r="W17" s="10">
        <f>+IF(R22&gt;400,R22-400,0)</f>
        <v>0</v>
      </c>
      <c r="X17" s="10">
        <f t="shared" si="0"/>
        <v>0</v>
      </c>
    </row>
    <row r="18" spans="1:24" ht="18.75" thickBot="1" x14ac:dyDescent="0.3">
      <c r="A18" s="9"/>
      <c r="B18" s="45" t="s">
        <v>39</v>
      </c>
      <c r="C18" s="5">
        <v>1990</v>
      </c>
      <c r="D18" s="21"/>
      <c r="E18" s="21"/>
      <c r="F18" s="21"/>
      <c r="G18" s="21"/>
      <c r="H18" s="21"/>
      <c r="I18" s="21"/>
      <c r="J18" s="20"/>
      <c r="K18" s="19"/>
      <c r="L18" s="21"/>
      <c r="M18" s="21"/>
      <c r="N18" s="21"/>
      <c r="O18" s="21"/>
      <c r="P18" s="21"/>
      <c r="Q18" s="21"/>
      <c r="R18" s="21"/>
      <c r="S18" s="21"/>
      <c r="T18" s="22"/>
      <c r="U18" s="9"/>
    </row>
    <row r="19" spans="1:24" ht="18.75" thickBot="1" x14ac:dyDescent="0.3">
      <c r="A19" s="9"/>
      <c r="B19" s="45" t="s">
        <v>48</v>
      </c>
      <c r="C19" s="1" t="s">
        <v>23</v>
      </c>
      <c r="D19" s="21"/>
      <c r="E19" s="21"/>
      <c r="F19" s="21"/>
      <c r="G19" s="21"/>
      <c r="H19" s="21"/>
      <c r="I19" s="21"/>
      <c r="J19" s="20"/>
      <c r="K19" s="19"/>
      <c r="L19" s="21"/>
      <c r="M19" s="21"/>
      <c r="N19" s="21"/>
      <c r="O19" s="21"/>
      <c r="P19" s="21"/>
      <c r="Q19" s="21"/>
      <c r="R19" s="21"/>
      <c r="S19" s="21"/>
      <c r="T19" s="22"/>
      <c r="U19" s="9"/>
    </row>
    <row r="20" spans="1:24" ht="21" customHeight="1" thickBot="1" x14ac:dyDescent="0.4">
      <c r="A20" s="9"/>
      <c r="B20" s="45" t="s">
        <v>62</v>
      </c>
      <c r="C20" s="4">
        <v>15</v>
      </c>
      <c r="D20" s="21"/>
      <c r="E20" s="21"/>
      <c r="F20" s="21"/>
      <c r="G20" s="21"/>
      <c r="H20" s="21"/>
      <c r="I20" s="21"/>
      <c r="J20" s="46">
        <f>+IF(F7="Öl",G130,G128)</f>
        <v>0.10033821871476896</v>
      </c>
      <c r="K20" s="19"/>
      <c r="L20" s="185" t="s">
        <v>32</v>
      </c>
      <c r="M20" s="185"/>
      <c r="N20" s="185"/>
      <c r="O20" s="185"/>
      <c r="P20" s="185"/>
      <c r="Q20" s="185"/>
      <c r="R20" s="185"/>
      <c r="S20" s="185"/>
      <c r="T20" s="22"/>
      <c r="U20" s="9"/>
    </row>
    <row r="21" spans="1:24" ht="21" customHeight="1" x14ac:dyDescent="0.25">
      <c r="A21" s="9"/>
      <c r="B21" s="19"/>
      <c r="C21" s="47"/>
      <c r="D21" s="21"/>
      <c r="E21" s="21"/>
      <c r="F21" s="21"/>
      <c r="G21" s="21"/>
      <c r="H21" s="21"/>
      <c r="I21" s="21"/>
      <c r="J21" s="20"/>
      <c r="K21" s="19"/>
      <c r="L21" s="21"/>
      <c r="M21" s="21"/>
      <c r="N21" s="48"/>
      <c r="O21" s="21"/>
      <c r="P21" s="21"/>
      <c r="Q21" s="21"/>
      <c r="R21" s="21"/>
      <c r="S21" s="21"/>
      <c r="T21" s="22"/>
      <c r="U21" s="9"/>
    </row>
    <row r="22" spans="1:24" ht="24.75" x14ac:dyDescent="0.45">
      <c r="A22" s="9"/>
      <c r="B22" s="19"/>
      <c r="C22" s="21"/>
      <c r="D22" s="21"/>
      <c r="E22" s="21"/>
      <c r="F22" s="21"/>
      <c r="G22" s="21"/>
      <c r="H22" s="21"/>
      <c r="I22" s="21"/>
      <c r="J22" s="20"/>
      <c r="K22" s="19"/>
      <c r="L22" s="49" t="s">
        <v>33</v>
      </c>
      <c r="N22" s="184">
        <f>+C34</f>
        <v>7270.4918032786882</v>
      </c>
      <c r="O22" s="184"/>
      <c r="P22" s="184"/>
      <c r="Q22" s="49" t="s">
        <v>34</v>
      </c>
      <c r="R22" s="50">
        <f>+N22/1000</f>
        <v>7.2704918032786878</v>
      </c>
      <c r="S22" s="49"/>
      <c r="T22" s="51"/>
      <c r="U22" s="9"/>
    </row>
    <row r="23" spans="1:24" ht="15.75" thickBot="1" x14ac:dyDescent="0.3">
      <c r="A23" s="9"/>
      <c r="B23" s="19"/>
      <c r="C23" s="21"/>
      <c r="D23" s="21"/>
      <c r="E23" s="21"/>
      <c r="F23" s="21"/>
      <c r="G23" s="21"/>
      <c r="H23" s="21"/>
      <c r="I23" s="21"/>
      <c r="J23" s="20"/>
      <c r="K23" s="19"/>
      <c r="L23" s="21"/>
      <c r="M23" s="21"/>
      <c r="N23" s="21"/>
      <c r="O23" s="21"/>
      <c r="P23" s="21"/>
      <c r="Q23" s="21"/>
      <c r="R23" s="21"/>
      <c r="S23" s="21"/>
      <c r="T23" s="22"/>
      <c r="U23" s="9"/>
    </row>
    <row r="24" spans="1:24" ht="24" thickBot="1" x14ac:dyDescent="0.4">
      <c r="A24" s="9"/>
      <c r="B24" s="19"/>
      <c r="C24" s="21"/>
      <c r="D24" s="21"/>
      <c r="E24" s="21"/>
      <c r="F24" s="21"/>
      <c r="G24" s="21"/>
      <c r="H24" s="21"/>
      <c r="I24" s="21"/>
      <c r="J24" s="52">
        <f>H116</f>
        <v>0.8</v>
      </c>
      <c r="K24" s="19"/>
      <c r="L24" s="53" t="s">
        <v>64</v>
      </c>
      <c r="M24" s="21"/>
      <c r="N24" s="48"/>
      <c r="O24" s="21"/>
      <c r="P24" s="21"/>
      <c r="Q24" s="6">
        <f>+C20</f>
        <v>15</v>
      </c>
      <c r="R24" s="21"/>
      <c r="S24" s="21"/>
      <c r="T24" s="22"/>
      <c r="U24" s="9"/>
    </row>
    <row r="25" spans="1:24" x14ac:dyDescent="0.25">
      <c r="A25" s="9"/>
      <c r="B25" s="19"/>
      <c r="C25" s="21"/>
      <c r="D25" s="21"/>
      <c r="E25" s="21"/>
      <c r="F25" s="21"/>
      <c r="G25" s="21"/>
      <c r="H25" s="21"/>
      <c r="I25" s="21"/>
      <c r="J25" s="20"/>
      <c r="K25" s="19"/>
      <c r="L25" s="21"/>
      <c r="M25" s="21"/>
      <c r="N25" s="21"/>
      <c r="O25" s="21"/>
      <c r="P25" s="21"/>
      <c r="Q25" s="21"/>
      <c r="R25" s="21"/>
      <c r="S25" s="21"/>
      <c r="T25" s="22"/>
      <c r="U25" s="9"/>
    </row>
    <row r="26" spans="1:24" x14ac:dyDescent="0.25">
      <c r="A26" s="9"/>
      <c r="B26" s="19"/>
      <c r="C26" s="21"/>
      <c r="D26" s="21"/>
      <c r="E26" s="21"/>
      <c r="F26" s="21"/>
      <c r="G26" s="21"/>
      <c r="H26" s="21"/>
      <c r="I26" s="21"/>
      <c r="J26" s="20"/>
      <c r="K26" s="19"/>
      <c r="L26" s="21"/>
      <c r="M26" s="21"/>
      <c r="N26" s="21"/>
      <c r="O26" s="21"/>
      <c r="P26" s="21"/>
      <c r="Q26" s="21"/>
      <c r="R26" s="21"/>
      <c r="S26" s="21"/>
      <c r="T26" s="22"/>
      <c r="U26" s="9"/>
    </row>
    <row r="27" spans="1:24" ht="19.5" customHeight="1" thickBot="1" x14ac:dyDescent="0.3">
      <c r="A27" s="9"/>
      <c r="B27" s="45" t="s">
        <v>37</v>
      </c>
      <c r="C27" s="21"/>
      <c r="D27" s="21"/>
      <c r="E27" s="21"/>
      <c r="F27" s="21"/>
      <c r="G27" s="21"/>
      <c r="H27" s="21"/>
      <c r="I27" s="21"/>
      <c r="J27" s="20"/>
      <c r="K27" s="19"/>
      <c r="L27" s="21"/>
      <c r="M27" s="21"/>
      <c r="N27" s="21"/>
      <c r="O27" s="21"/>
      <c r="P27" s="21"/>
      <c r="Q27" s="21"/>
      <c r="R27" s="21"/>
      <c r="S27" s="21"/>
      <c r="T27" s="22"/>
      <c r="U27" s="9"/>
    </row>
    <row r="28" spans="1:24" ht="21" thickBot="1" x14ac:dyDescent="0.35">
      <c r="A28" s="9"/>
      <c r="B28" s="19"/>
      <c r="C28" s="54">
        <f>+C34/C20</f>
        <v>484.69945355191254</v>
      </c>
      <c r="D28" s="21"/>
      <c r="E28" s="21"/>
      <c r="F28" s="21"/>
      <c r="G28" s="21"/>
      <c r="H28" s="21"/>
      <c r="I28" s="21"/>
      <c r="J28" s="20"/>
      <c r="K28" s="19"/>
      <c r="L28" s="21"/>
      <c r="M28" s="21"/>
      <c r="N28" s="55"/>
      <c r="O28" s="56"/>
      <c r="P28" s="9"/>
      <c r="Q28" s="9"/>
      <c r="R28" s="55"/>
      <c r="S28" s="55"/>
      <c r="T28" s="51"/>
      <c r="U28" s="9"/>
    </row>
    <row r="29" spans="1:24" ht="32.25" customHeight="1" x14ac:dyDescent="0.3">
      <c r="A29" s="9"/>
      <c r="B29" s="180" t="s">
        <v>63</v>
      </c>
      <c r="C29" s="181"/>
      <c r="D29" s="181"/>
      <c r="E29" s="21"/>
      <c r="F29" s="21"/>
      <c r="G29" s="21"/>
      <c r="H29" s="21"/>
      <c r="I29" s="21"/>
      <c r="J29" s="20"/>
      <c r="K29" s="19"/>
      <c r="L29" s="21"/>
      <c r="M29" s="21"/>
      <c r="N29" s="55"/>
      <c r="O29" s="56"/>
      <c r="P29" s="9"/>
      <c r="Q29" s="9"/>
      <c r="R29" s="55"/>
      <c r="S29" s="55"/>
      <c r="T29" s="51"/>
      <c r="U29" s="9"/>
    </row>
    <row r="30" spans="1:24" ht="20.25" x14ac:dyDescent="0.3">
      <c r="A30" s="9"/>
      <c r="B30" s="180"/>
      <c r="C30" s="181"/>
      <c r="D30" s="181"/>
      <c r="E30" s="21"/>
      <c r="F30" s="21"/>
      <c r="G30" s="21"/>
      <c r="H30" s="21"/>
      <c r="I30" s="21"/>
      <c r="J30" s="20"/>
      <c r="K30" s="19"/>
      <c r="L30" s="21"/>
      <c r="M30" s="21"/>
      <c r="N30" s="55"/>
      <c r="O30" s="56"/>
      <c r="P30" s="9"/>
      <c r="Q30" s="9"/>
      <c r="R30" s="55"/>
      <c r="S30" s="55"/>
      <c r="T30" s="51"/>
      <c r="U30" s="9"/>
    </row>
    <row r="31" spans="1:24" ht="20.25" x14ac:dyDescent="0.3">
      <c r="A31" s="9"/>
      <c r="B31" s="57"/>
      <c r="C31" s="58"/>
      <c r="D31" s="58"/>
      <c r="E31" s="21"/>
      <c r="F31" s="21"/>
      <c r="G31" s="21"/>
      <c r="H31" s="21"/>
      <c r="I31" s="21"/>
      <c r="J31" s="20"/>
      <c r="K31" s="19"/>
      <c r="L31" s="21"/>
      <c r="M31" s="21"/>
      <c r="N31" s="21"/>
      <c r="O31" s="21"/>
      <c r="P31" s="55"/>
      <c r="Q31" s="55"/>
      <c r="R31" s="55"/>
      <c r="S31" s="55"/>
      <c r="T31" s="51"/>
      <c r="U31" s="9"/>
    </row>
    <row r="32" spans="1:24" ht="20.25" x14ac:dyDescent="0.3">
      <c r="A32" s="9"/>
      <c r="B32" s="19"/>
      <c r="C32" s="21"/>
      <c r="D32" s="21"/>
      <c r="E32" s="21"/>
      <c r="F32" s="21"/>
      <c r="G32" s="21"/>
      <c r="H32" s="21"/>
      <c r="I32" s="21"/>
      <c r="J32" s="20"/>
      <c r="K32" s="19"/>
      <c r="L32" s="21"/>
      <c r="M32" s="21"/>
      <c r="N32" s="21"/>
      <c r="O32" s="21"/>
      <c r="P32" s="55"/>
      <c r="Q32" s="55"/>
      <c r="R32" s="55"/>
      <c r="S32" s="55"/>
      <c r="T32" s="51"/>
      <c r="U32" s="9"/>
    </row>
    <row r="33" spans="1:21" ht="20.25" x14ac:dyDescent="0.3">
      <c r="A33" s="9"/>
      <c r="B33" s="19"/>
      <c r="C33" s="21"/>
      <c r="D33" s="21"/>
      <c r="E33" s="21"/>
      <c r="F33" s="21"/>
      <c r="G33" s="21"/>
      <c r="H33" s="21"/>
      <c r="I33" s="21"/>
      <c r="J33" s="20"/>
      <c r="K33" s="19"/>
      <c r="L33" s="21"/>
      <c r="M33" s="21"/>
      <c r="N33" s="21"/>
      <c r="O33" s="21"/>
      <c r="P33" s="55"/>
      <c r="Q33" s="55"/>
      <c r="R33" s="55"/>
      <c r="S33" s="55"/>
      <c r="T33" s="51"/>
      <c r="U33" s="9"/>
    </row>
    <row r="34" spans="1:21" ht="23.25" x14ac:dyDescent="0.35">
      <c r="A34" s="9"/>
      <c r="B34" s="19"/>
      <c r="C34" s="184">
        <f>+K116</f>
        <v>7270.4918032786882</v>
      </c>
      <c r="D34" s="184"/>
      <c r="E34" s="184"/>
      <c r="F34" s="184"/>
      <c r="G34" s="184"/>
      <c r="H34" s="21"/>
      <c r="I34" s="21"/>
      <c r="J34" s="20"/>
      <c r="K34" s="19"/>
      <c r="L34" s="21"/>
      <c r="M34" s="21"/>
      <c r="N34" s="21"/>
      <c r="O34" s="21"/>
      <c r="P34" s="55"/>
      <c r="Q34" s="55"/>
      <c r="R34" s="55"/>
      <c r="S34" s="55"/>
      <c r="T34" s="51"/>
      <c r="U34" s="9"/>
    </row>
    <row r="35" spans="1:21" ht="20.25" x14ac:dyDescent="0.3">
      <c r="A35" s="9"/>
      <c r="B35" s="19"/>
      <c r="C35" s="21"/>
      <c r="D35" s="21"/>
      <c r="E35" s="21"/>
      <c r="F35" s="21"/>
      <c r="G35" s="21"/>
      <c r="H35" s="21"/>
      <c r="I35" s="21"/>
      <c r="J35" s="20"/>
      <c r="K35" s="19"/>
      <c r="L35" s="21"/>
      <c r="M35" s="21"/>
      <c r="N35" s="21"/>
      <c r="O35" s="21"/>
      <c r="P35" s="55"/>
      <c r="Q35" s="55"/>
      <c r="R35" s="55"/>
      <c r="S35" s="55"/>
      <c r="T35" s="51"/>
      <c r="U35" s="9"/>
    </row>
    <row r="36" spans="1:21" ht="23.25" x14ac:dyDescent="0.35">
      <c r="A36" s="9"/>
      <c r="B36" s="59" t="s">
        <v>53</v>
      </c>
      <c r="C36" s="21"/>
      <c r="D36" s="21"/>
      <c r="E36" s="60"/>
      <c r="F36" s="61"/>
      <c r="G36" s="61"/>
      <c r="H36" s="62"/>
      <c r="I36" s="62"/>
      <c r="J36" s="63"/>
      <c r="K36" s="64"/>
      <c r="L36" s="62"/>
      <c r="M36" s="62"/>
      <c r="N36" s="62"/>
      <c r="O36" s="62"/>
      <c r="P36" s="62"/>
      <c r="Q36" s="62"/>
      <c r="R36" s="62"/>
      <c r="S36" s="62"/>
      <c r="T36" s="63"/>
      <c r="U36" s="9"/>
    </row>
    <row r="37" spans="1:21" ht="12.75" customHeight="1" x14ac:dyDescent="0.25">
      <c r="A37" s="9"/>
      <c r="B37" s="19"/>
      <c r="C37" s="21"/>
      <c r="D37" s="21"/>
      <c r="E37" s="60"/>
      <c r="F37" s="62"/>
      <c r="G37" s="62"/>
      <c r="H37" s="62"/>
      <c r="I37" s="62"/>
      <c r="J37" s="63"/>
      <c r="K37" s="64"/>
      <c r="L37" s="62"/>
      <c r="M37" s="62"/>
      <c r="N37" s="62"/>
      <c r="O37" s="62"/>
      <c r="P37" s="62"/>
      <c r="Q37" s="62"/>
      <c r="R37" s="62"/>
      <c r="S37" s="62"/>
      <c r="T37" s="63"/>
      <c r="U37" s="9"/>
    </row>
    <row r="38" spans="1:21" ht="27.75" customHeight="1" x14ac:dyDescent="0.25">
      <c r="A38" s="9"/>
      <c r="B38" s="65" t="s">
        <v>54</v>
      </c>
      <c r="C38" s="66"/>
      <c r="D38" s="66"/>
      <c r="E38" s="67"/>
      <c r="F38" s="67"/>
      <c r="G38" s="68">
        <f>F12</f>
        <v>138</v>
      </c>
      <c r="H38" s="177"/>
      <c r="I38" s="177"/>
      <c r="J38" s="68"/>
      <c r="K38" s="69"/>
      <c r="L38" s="177"/>
      <c r="M38" s="177"/>
      <c r="N38" s="177"/>
      <c r="O38" s="177"/>
      <c r="P38" s="177">
        <f>+Q7</f>
        <v>250</v>
      </c>
      <c r="Q38" s="177"/>
      <c r="R38" s="70"/>
      <c r="S38" s="70"/>
      <c r="T38" s="71"/>
      <c r="U38" s="9"/>
    </row>
    <row r="39" spans="1:21" ht="27.75" customHeight="1" x14ac:dyDescent="0.25">
      <c r="A39" s="9"/>
      <c r="B39" s="72" t="s">
        <v>65</v>
      </c>
      <c r="C39" s="21"/>
      <c r="D39" s="21"/>
      <c r="E39" s="60"/>
      <c r="F39" s="62"/>
      <c r="G39" s="62">
        <f>F13</f>
        <v>0</v>
      </c>
      <c r="H39" s="62"/>
      <c r="I39" s="62"/>
      <c r="J39" s="63"/>
      <c r="K39" s="64"/>
      <c r="L39" s="62"/>
      <c r="M39" s="62"/>
      <c r="N39" s="62"/>
      <c r="O39" s="62"/>
      <c r="P39" s="187">
        <f>+Q24*Q8</f>
        <v>150</v>
      </c>
      <c r="Q39" s="187"/>
      <c r="R39" s="62"/>
      <c r="S39" s="62"/>
      <c r="T39" s="63"/>
      <c r="U39" s="9"/>
    </row>
    <row r="40" spans="1:21" ht="27.75" customHeight="1" x14ac:dyDescent="0.25">
      <c r="A40" s="9"/>
      <c r="B40" s="65" t="s">
        <v>66</v>
      </c>
      <c r="C40" s="66"/>
      <c r="D40" s="66"/>
      <c r="E40" s="67"/>
      <c r="F40" s="67"/>
      <c r="G40" s="68">
        <f>F9*F11/100</f>
        <v>510</v>
      </c>
      <c r="H40" s="70"/>
      <c r="I40" s="70"/>
      <c r="J40" s="71"/>
      <c r="K40" s="69"/>
      <c r="L40" s="70"/>
      <c r="M40" s="70"/>
      <c r="N40" s="70"/>
      <c r="O40" s="70"/>
      <c r="P40" s="73"/>
      <c r="Q40" s="73">
        <f>+SUM(X10:X17)</f>
        <v>428.9590163934426</v>
      </c>
      <c r="R40" s="70"/>
      <c r="S40" s="70"/>
      <c r="T40" s="71"/>
      <c r="U40" s="9"/>
    </row>
    <row r="41" spans="1:21" s="76" customFormat="1" ht="27.75" customHeight="1" x14ac:dyDescent="0.25">
      <c r="A41" s="9"/>
      <c r="B41" s="74"/>
      <c r="C41" s="21"/>
      <c r="D41" s="21"/>
      <c r="E41" s="60"/>
      <c r="F41" s="75"/>
      <c r="G41" s="75"/>
      <c r="H41" s="62"/>
      <c r="I41" s="62"/>
      <c r="J41" s="63"/>
      <c r="K41" s="64"/>
      <c r="L41" s="62"/>
      <c r="M41" s="62"/>
      <c r="N41" s="62"/>
      <c r="O41" s="62"/>
      <c r="P41" s="62"/>
      <c r="Q41" s="62"/>
      <c r="R41" s="62"/>
      <c r="S41" s="62"/>
      <c r="T41" s="63"/>
      <c r="U41" s="9"/>
    </row>
    <row r="42" spans="1:21" ht="27.75" customHeight="1" x14ac:dyDescent="0.35">
      <c r="A42" s="9"/>
      <c r="B42" s="59" t="s">
        <v>69</v>
      </c>
      <c r="C42" s="21"/>
      <c r="D42" s="21"/>
      <c r="E42" s="60"/>
      <c r="F42" s="62"/>
      <c r="G42" s="62"/>
      <c r="H42" s="62"/>
      <c r="I42" s="62"/>
      <c r="J42" s="63"/>
      <c r="K42" s="64"/>
      <c r="L42" s="62"/>
      <c r="M42" s="62"/>
      <c r="N42" s="62"/>
      <c r="O42" s="62"/>
      <c r="P42" s="62"/>
      <c r="Q42" s="62"/>
      <c r="R42" s="62"/>
      <c r="S42" s="62"/>
      <c r="T42" s="63"/>
      <c r="U42" s="9"/>
    </row>
    <row r="43" spans="1:21" ht="9.75" customHeight="1" thickBot="1" x14ac:dyDescent="0.4">
      <c r="A43" s="9"/>
      <c r="B43" s="77"/>
      <c r="C43" s="21"/>
      <c r="D43" s="21"/>
      <c r="E43" s="60"/>
      <c r="F43" s="62"/>
      <c r="G43" s="62"/>
      <c r="H43" s="62"/>
      <c r="I43" s="62"/>
      <c r="J43" s="63"/>
      <c r="K43" s="64"/>
      <c r="L43" s="62"/>
      <c r="M43" s="62"/>
      <c r="N43" s="62"/>
      <c r="O43" s="62"/>
      <c r="P43" s="62"/>
      <c r="Q43" s="62"/>
      <c r="R43" s="62"/>
      <c r="S43" s="62"/>
      <c r="T43" s="63"/>
      <c r="U43" s="9"/>
    </row>
    <row r="44" spans="1:21" ht="27.75" customHeight="1" thickBot="1" x14ac:dyDescent="0.3">
      <c r="A44" s="9"/>
      <c r="B44" s="65" t="s">
        <v>86</v>
      </c>
      <c r="C44" s="66"/>
      <c r="D44" s="66"/>
      <c r="E44" s="67"/>
      <c r="F44" s="70"/>
      <c r="G44" s="175">
        <v>40</v>
      </c>
      <c r="H44" s="70"/>
      <c r="I44" s="70"/>
      <c r="J44" s="71"/>
      <c r="K44" s="69"/>
      <c r="L44" s="70"/>
      <c r="M44" s="70"/>
      <c r="N44" s="70"/>
      <c r="O44" s="70"/>
      <c r="P44" s="70"/>
      <c r="Q44" s="175">
        <v>10</v>
      </c>
      <c r="R44" s="70"/>
      <c r="S44" s="70"/>
      <c r="T44" s="71"/>
      <c r="U44" s="9"/>
    </row>
    <row r="45" spans="1:21" ht="27.75" customHeight="1" thickBot="1" x14ac:dyDescent="0.3">
      <c r="A45" s="9"/>
      <c r="B45" s="72" t="s">
        <v>87</v>
      </c>
      <c r="C45" s="21"/>
      <c r="D45" s="21"/>
      <c r="E45" s="60"/>
      <c r="F45" s="62"/>
      <c r="G45" s="175">
        <v>150</v>
      </c>
      <c r="H45" s="62"/>
      <c r="I45" s="62"/>
      <c r="J45" s="63"/>
      <c r="K45" s="64"/>
      <c r="L45" s="62"/>
      <c r="M45" s="62"/>
      <c r="N45" s="62"/>
      <c r="O45" s="62" t="s">
        <v>67</v>
      </c>
      <c r="P45" s="62"/>
      <c r="Q45" s="62"/>
      <c r="R45" s="62"/>
      <c r="S45" s="62"/>
      <c r="T45" s="63"/>
      <c r="U45" s="9"/>
    </row>
    <row r="46" spans="1:21" ht="27.75" customHeight="1" thickBot="1" x14ac:dyDescent="0.3">
      <c r="A46" s="9"/>
      <c r="B46" s="65" t="s">
        <v>55</v>
      </c>
      <c r="C46" s="66"/>
      <c r="D46" s="66"/>
      <c r="E46" s="67"/>
      <c r="F46" s="70"/>
      <c r="G46" s="175">
        <v>80</v>
      </c>
      <c r="H46" s="70"/>
      <c r="I46" s="70"/>
      <c r="J46" s="71"/>
      <c r="K46" s="69"/>
      <c r="L46" s="70"/>
      <c r="M46" s="70"/>
      <c r="N46" s="70"/>
      <c r="O46" s="70"/>
      <c r="P46" s="70"/>
      <c r="Q46" s="70" t="s">
        <v>68</v>
      </c>
      <c r="R46" s="70"/>
      <c r="S46" s="70"/>
      <c r="T46" s="71"/>
      <c r="U46" s="9"/>
    </row>
    <row r="47" spans="1:21" ht="36.75" customHeight="1" thickBot="1" x14ac:dyDescent="0.3">
      <c r="A47" s="9"/>
      <c r="B47" s="78" t="s">
        <v>72</v>
      </c>
      <c r="C47" s="79"/>
      <c r="D47" s="79"/>
      <c r="E47" s="80"/>
      <c r="F47" s="81"/>
      <c r="G47" s="82">
        <f>SUM(G38:G46)</f>
        <v>918</v>
      </c>
      <c r="H47" s="81"/>
      <c r="I47" s="81"/>
      <c r="J47" s="83"/>
      <c r="K47" s="84"/>
      <c r="L47" s="81"/>
      <c r="M47" s="81"/>
      <c r="N47" s="81"/>
      <c r="O47" s="81"/>
      <c r="P47" s="81"/>
      <c r="Q47" s="82">
        <f>SUM(P38:Q44)</f>
        <v>838.95901639344265</v>
      </c>
      <c r="R47" s="81"/>
      <c r="S47" s="81"/>
      <c r="T47" s="83"/>
      <c r="U47" s="9"/>
    </row>
    <row r="48" spans="1:21" s="76" customFormat="1" ht="36.75" customHeight="1" thickTop="1" x14ac:dyDescent="0.25">
      <c r="A48" s="9"/>
      <c r="B48" s="85"/>
      <c r="C48" s="21"/>
      <c r="D48" s="21"/>
      <c r="E48" s="60"/>
      <c r="F48" s="62"/>
      <c r="G48" s="62"/>
      <c r="H48" s="62"/>
      <c r="I48" s="62"/>
      <c r="J48" s="63"/>
      <c r="K48" s="64"/>
      <c r="L48" s="62"/>
      <c r="M48" s="62"/>
      <c r="N48" s="62"/>
      <c r="O48" s="62"/>
      <c r="P48" s="62"/>
      <c r="Q48" s="62"/>
      <c r="R48" s="62"/>
      <c r="S48" s="62"/>
      <c r="T48" s="63"/>
      <c r="U48" s="9"/>
    </row>
    <row r="49" spans="1:21" s="76" customFormat="1" ht="36.75" customHeight="1" thickBot="1" x14ac:dyDescent="0.3">
      <c r="A49" s="9"/>
      <c r="B49" s="86" t="s">
        <v>70</v>
      </c>
      <c r="C49" s="21"/>
      <c r="D49" s="21"/>
      <c r="E49" s="60"/>
      <c r="F49" s="62"/>
      <c r="G49" s="62"/>
      <c r="H49" s="62"/>
      <c r="I49" s="62"/>
      <c r="J49" s="63"/>
      <c r="K49" s="64"/>
      <c r="L49" s="62"/>
      <c r="M49" s="62"/>
      <c r="N49" s="62"/>
      <c r="O49" s="62"/>
      <c r="P49" s="62"/>
      <c r="Q49" s="62"/>
      <c r="R49" s="62"/>
      <c r="S49" s="62"/>
      <c r="T49" s="63"/>
      <c r="U49" s="9"/>
    </row>
    <row r="50" spans="1:21" ht="26.25" customHeight="1" thickBot="1" x14ac:dyDescent="0.3">
      <c r="A50" s="9"/>
      <c r="B50" s="72" t="s">
        <v>56</v>
      </c>
      <c r="C50" s="21"/>
      <c r="D50" s="21"/>
      <c r="E50" s="60"/>
      <c r="F50" s="62"/>
      <c r="G50" s="175">
        <v>4800</v>
      </c>
      <c r="H50" s="62"/>
      <c r="I50" s="62"/>
      <c r="J50" s="63"/>
      <c r="K50" s="64"/>
      <c r="L50" s="62"/>
      <c r="M50" s="62"/>
      <c r="N50" s="62"/>
      <c r="O50" s="62"/>
      <c r="P50" s="62"/>
      <c r="Q50" s="62"/>
      <c r="R50" s="62"/>
      <c r="S50" s="62"/>
      <c r="T50" s="63"/>
      <c r="U50" s="9"/>
    </row>
    <row r="51" spans="1:21" ht="26.25" customHeight="1" thickBot="1" x14ac:dyDescent="0.3">
      <c r="A51" s="9"/>
      <c r="B51" s="72" t="s">
        <v>57</v>
      </c>
      <c r="C51" s="21"/>
      <c r="D51" s="21"/>
      <c r="E51" s="60"/>
      <c r="F51" s="62"/>
      <c r="G51" s="87"/>
      <c r="H51" s="62"/>
      <c r="I51" s="62"/>
      <c r="J51" s="63"/>
      <c r="K51" s="64"/>
      <c r="L51" s="62"/>
      <c r="M51" s="62"/>
      <c r="N51" s="62"/>
      <c r="O51" s="62"/>
      <c r="P51" s="62"/>
      <c r="Q51" s="175">
        <v>3000</v>
      </c>
      <c r="R51" s="62"/>
      <c r="S51" s="62"/>
      <c r="T51" s="63"/>
      <c r="U51" s="9"/>
    </row>
    <row r="52" spans="1:21" ht="26.25" customHeight="1" thickBot="1" x14ac:dyDescent="0.3">
      <c r="A52" s="9"/>
      <c r="B52" s="72" t="s">
        <v>58</v>
      </c>
      <c r="C52" s="21"/>
      <c r="D52" s="21"/>
      <c r="E52" s="60"/>
      <c r="F52" s="62"/>
      <c r="G52" s="174">
        <v>15</v>
      </c>
      <c r="H52" s="62"/>
      <c r="I52" s="62"/>
      <c r="J52" s="63"/>
      <c r="K52" s="64"/>
      <c r="L52" s="62"/>
      <c r="M52" s="62"/>
      <c r="N52" s="62"/>
      <c r="O52" s="62"/>
      <c r="P52" s="62"/>
      <c r="Q52" s="174">
        <v>20</v>
      </c>
      <c r="R52" s="62"/>
      <c r="S52" s="62"/>
      <c r="T52" s="63"/>
      <c r="U52" s="9"/>
    </row>
    <row r="53" spans="1:21" ht="39.75" customHeight="1" x14ac:dyDescent="0.25">
      <c r="A53" s="9"/>
      <c r="B53" s="72" t="s">
        <v>73</v>
      </c>
      <c r="C53" s="88"/>
      <c r="D53" s="88"/>
      <c r="E53" s="89"/>
      <c r="F53" s="90"/>
      <c r="G53" s="62">
        <f>G50/G52</f>
        <v>320</v>
      </c>
      <c r="H53" s="90"/>
      <c r="I53" s="90"/>
      <c r="J53" s="91"/>
      <c r="K53" s="92"/>
      <c r="L53" s="90"/>
      <c r="M53" s="90"/>
      <c r="N53" s="90"/>
      <c r="O53" s="90"/>
      <c r="P53" s="62"/>
      <c r="Q53" s="62">
        <f>Q51/Q52</f>
        <v>150</v>
      </c>
      <c r="R53" s="62"/>
      <c r="S53" s="62"/>
      <c r="T53" s="63"/>
      <c r="U53" s="9"/>
    </row>
    <row r="54" spans="1:21" ht="27.75" customHeight="1" x14ac:dyDescent="0.25">
      <c r="A54" s="9"/>
      <c r="B54" s="93" t="s">
        <v>88</v>
      </c>
      <c r="C54" s="88"/>
      <c r="D54" s="88"/>
      <c r="E54" s="89"/>
      <c r="F54" s="90"/>
      <c r="G54" s="90"/>
      <c r="H54" s="90"/>
      <c r="I54" s="90"/>
      <c r="J54" s="91"/>
      <c r="K54" s="92"/>
      <c r="L54" s="90"/>
      <c r="M54" s="90"/>
      <c r="N54" s="90"/>
      <c r="O54" s="90"/>
      <c r="P54" s="62"/>
      <c r="Q54" s="62"/>
      <c r="R54" s="62"/>
      <c r="S54" s="62"/>
      <c r="T54" s="63"/>
      <c r="U54" s="9"/>
    </row>
    <row r="55" spans="1:21" ht="47.25" customHeight="1" x14ac:dyDescent="0.4">
      <c r="A55" s="9"/>
      <c r="B55" s="94" t="s">
        <v>71</v>
      </c>
      <c r="C55" s="88"/>
      <c r="D55" s="88"/>
      <c r="E55" s="89"/>
      <c r="F55" s="90"/>
      <c r="G55" s="90"/>
      <c r="H55" s="90"/>
      <c r="I55" s="90"/>
      <c r="J55" s="91"/>
      <c r="K55" s="92"/>
      <c r="L55" s="90"/>
      <c r="M55" s="90"/>
      <c r="N55" s="90"/>
      <c r="O55" s="90"/>
      <c r="P55" s="62"/>
      <c r="Q55" s="62"/>
      <c r="R55" s="62"/>
      <c r="S55" s="62"/>
      <c r="T55" s="63"/>
      <c r="U55" s="9"/>
    </row>
    <row r="56" spans="1:21" ht="33" customHeight="1" x14ac:dyDescent="0.25">
      <c r="A56" s="9"/>
      <c r="B56" s="72" t="s">
        <v>59</v>
      </c>
      <c r="C56" s="88"/>
      <c r="D56" s="88"/>
      <c r="E56" s="89"/>
      <c r="F56" s="90"/>
      <c r="G56" s="62">
        <f>G47+G53</f>
        <v>1238</v>
      </c>
      <c r="H56" s="90"/>
      <c r="I56" s="90"/>
      <c r="J56" s="91"/>
      <c r="K56" s="92"/>
      <c r="L56" s="90"/>
      <c r="M56" s="90"/>
      <c r="N56" s="90"/>
      <c r="O56" s="90"/>
      <c r="P56" s="62"/>
      <c r="Q56" s="62">
        <f>Q47+Q53</f>
        <v>988.95901639344265</v>
      </c>
      <c r="R56" s="62"/>
      <c r="S56" s="62"/>
      <c r="T56" s="63"/>
      <c r="U56" s="9"/>
    </row>
    <row r="57" spans="1:21" ht="27.75" customHeight="1" x14ac:dyDescent="0.35">
      <c r="A57" s="9"/>
      <c r="B57" s="72" t="s">
        <v>60</v>
      </c>
      <c r="C57" s="88"/>
      <c r="D57" s="95"/>
      <c r="E57" s="89"/>
      <c r="F57" s="90"/>
      <c r="G57" s="62">
        <f>G56*0.19</f>
        <v>235.22</v>
      </c>
      <c r="H57" s="90"/>
      <c r="I57" s="90"/>
      <c r="J57" s="91"/>
      <c r="K57" s="92"/>
      <c r="L57" s="62"/>
      <c r="M57" s="90"/>
      <c r="N57" s="90"/>
      <c r="O57" s="90"/>
      <c r="P57" s="62"/>
      <c r="Q57" s="62">
        <f>Q56*0.19</f>
        <v>187.90221311475412</v>
      </c>
      <c r="R57" s="62"/>
      <c r="S57" s="62"/>
      <c r="T57" s="63"/>
      <c r="U57" s="9"/>
    </row>
    <row r="58" spans="1:21" ht="45.75" customHeight="1" thickBot="1" x14ac:dyDescent="0.3">
      <c r="A58" s="9"/>
      <c r="B58" s="96" t="s">
        <v>61</v>
      </c>
      <c r="C58" s="97"/>
      <c r="D58" s="97"/>
      <c r="E58" s="97"/>
      <c r="F58" s="97"/>
      <c r="G58" s="97">
        <f>SUM(G56:G57)</f>
        <v>1473.22</v>
      </c>
      <c r="H58" s="97"/>
      <c r="I58" s="97"/>
      <c r="J58" s="97"/>
      <c r="K58" s="97"/>
      <c r="L58" s="97"/>
      <c r="M58" s="97"/>
      <c r="N58" s="97"/>
      <c r="O58" s="97"/>
      <c r="P58" s="97"/>
      <c r="Q58" s="97">
        <f>+Q56+Q57</f>
        <v>1176.8612295081969</v>
      </c>
      <c r="R58" s="97"/>
      <c r="S58" s="97"/>
      <c r="T58" s="98"/>
      <c r="U58" s="9"/>
    </row>
    <row r="59" spans="1:21" ht="23.25" x14ac:dyDescent="0.35">
      <c r="A59" s="9"/>
      <c r="B59" s="99"/>
      <c r="C59" s="100"/>
      <c r="D59" s="101"/>
      <c r="E59" s="102"/>
      <c r="F59" s="194"/>
      <c r="G59" s="194"/>
      <c r="H59" s="102"/>
      <c r="I59" s="102"/>
      <c r="J59" s="102"/>
      <c r="K59" s="102"/>
      <c r="L59" s="102"/>
      <c r="M59" s="102"/>
      <c r="N59" s="102"/>
      <c r="O59" s="102"/>
      <c r="P59" s="103"/>
      <c r="Q59" s="103"/>
      <c r="R59" s="103"/>
      <c r="S59" s="103"/>
      <c r="T59" s="104"/>
      <c r="U59" s="9"/>
    </row>
    <row r="60" spans="1:21" ht="26.25" x14ac:dyDescent="0.4">
      <c r="A60" s="9"/>
      <c r="B60" s="105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22"/>
      <c r="U60" s="9"/>
    </row>
    <row r="61" spans="1:21" x14ac:dyDescent="0.25">
      <c r="A61" s="9"/>
      <c r="B61" s="106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22"/>
      <c r="U61" s="9"/>
    </row>
    <row r="62" spans="1:21" ht="33" x14ac:dyDescent="0.85">
      <c r="A62" s="9"/>
      <c r="B62" s="106"/>
      <c r="C62" s="88"/>
      <c r="D62" s="88"/>
      <c r="E62" s="88"/>
      <c r="F62" s="88"/>
      <c r="G62" s="88"/>
      <c r="H62" s="107" t="s">
        <v>35</v>
      </c>
      <c r="I62" s="108"/>
      <c r="J62" s="186">
        <f>+G58-Q58</f>
        <v>296.35877049180317</v>
      </c>
      <c r="K62" s="186"/>
      <c r="L62" s="109">
        <f>J62/G58</f>
        <v>0.20116396090998165</v>
      </c>
      <c r="M62" s="88"/>
      <c r="N62" s="88"/>
      <c r="O62" s="88"/>
      <c r="P62" s="88"/>
      <c r="Q62" s="88"/>
      <c r="R62" s="88"/>
      <c r="S62" s="88"/>
      <c r="T62" s="22"/>
      <c r="U62" s="9"/>
    </row>
    <row r="63" spans="1:21" x14ac:dyDescent="0.25">
      <c r="A63" s="9"/>
      <c r="B63" s="106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22"/>
      <c r="U63" s="9"/>
    </row>
    <row r="64" spans="1:21" x14ac:dyDescent="0.25">
      <c r="A64" s="9"/>
      <c r="B64" s="106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22"/>
      <c r="U64" s="9"/>
    </row>
    <row r="65" spans="1:24" ht="15.75" thickBot="1" x14ac:dyDescent="0.3">
      <c r="A65" s="9"/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2"/>
      <c r="U65" s="9"/>
    </row>
    <row r="66" spans="1:24" x14ac:dyDescent="0.25">
      <c r="A66" s="9"/>
      <c r="B66" s="99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8"/>
      <c r="U66" s="9"/>
    </row>
    <row r="67" spans="1:24" x14ac:dyDescent="0.25">
      <c r="A67" s="9"/>
      <c r="B67" s="106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22"/>
      <c r="U67" s="9"/>
    </row>
    <row r="68" spans="1:24" ht="23.25" x14ac:dyDescent="0.25">
      <c r="A68" s="9"/>
      <c r="B68" s="106"/>
      <c r="C68" s="176" t="s">
        <v>36</v>
      </c>
      <c r="D68" s="176"/>
      <c r="E68" s="176"/>
      <c r="F68" s="176"/>
      <c r="G68" s="176"/>
      <c r="H68" s="176"/>
      <c r="I68" s="176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22"/>
      <c r="U68" s="9"/>
    </row>
    <row r="69" spans="1:24" ht="27" thickBot="1" x14ac:dyDescent="0.3">
      <c r="A69" s="9"/>
      <c r="B69" s="106"/>
      <c r="C69" s="88"/>
      <c r="D69" s="88"/>
      <c r="E69" s="88"/>
      <c r="F69" s="88"/>
      <c r="G69" s="88"/>
      <c r="H69" s="88"/>
      <c r="I69" s="88"/>
      <c r="J69" s="113" t="s">
        <v>96</v>
      </c>
      <c r="K69" s="88"/>
      <c r="L69" s="88"/>
      <c r="M69" s="88"/>
      <c r="N69" s="88"/>
      <c r="O69" s="88"/>
      <c r="P69" s="88"/>
      <c r="Q69" s="88"/>
      <c r="R69" s="88"/>
      <c r="S69" s="88"/>
      <c r="T69" s="22"/>
      <c r="U69" s="9"/>
    </row>
    <row r="70" spans="1:24" ht="16.5" thickBot="1" x14ac:dyDescent="0.3">
      <c r="A70" s="9"/>
      <c r="B70" s="106"/>
      <c r="C70" s="114" t="s">
        <v>41</v>
      </c>
      <c r="D70" s="114"/>
      <c r="E70" s="114"/>
      <c r="F70" s="7">
        <v>0.03</v>
      </c>
      <c r="G70" s="88"/>
      <c r="H70" s="88"/>
      <c r="I70" s="88"/>
      <c r="J70" s="197" t="s">
        <v>43</v>
      </c>
      <c r="K70" s="197" t="s">
        <v>44</v>
      </c>
      <c r="L70" s="199" t="s">
        <v>94</v>
      </c>
      <c r="M70" s="206" t="s">
        <v>45</v>
      </c>
      <c r="N70" s="209" t="s">
        <v>97</v>
      </c>
      <c r="O70" s="199" t="s">
        <v>95</v>
      </c>
      <c r="P70" s="211" t="s">
        <v>60</v>
      </c>
      <c r="Q70" s="195" t="s">
        <v>31</v>
      </c>
      <c r="R70" s="88"/>
      <c r="S70" s="88"/>
      <c r="T70" s="22"/>
      <c r="U70" s="9"/>
      <c r="W70" s="48"/>
      <c r="X70" s="48"/>
    </row>
    <row r="71" spans="1:24" ht="15.75" customHeight="1" thickBot="1" x14ac:dyDescent="0.3">
      <c r="A71" s="9"/>
      <c r="B71" s="106"/>
      <c r="C71" s="114" t="s">
        <v>42</v>
      </c>
      <c r="D71" s="114"/>
      <c r="E71" s="114"/>
      <c r="F71" s="8">
        <v>0.04</v>
      </c>
      <c r="G71" s="88"/>
      <c r="H71" s="88"/>
      <c r="I71" s="88"/>
      <c r="J71" s="198"/>
      <c r="K71" s="205"/>
      <c r="L71" s="200"/>
      <c r="M71" s="207"/>
      <c r="N71" s="210"/>
      <c r="O71" s="200"/>
      <c r="P71" s="212"/>
      <c r="Q71" s="208"/>
      <c r="R71" s="88"/>
      <c r="S71" s="88"/>
      <c r="T71" s="22"/>
      <c r="U71" s="88"/>
      <c r="V71" s="48"/>
      <c r="W71" s="48"/>
      <c r="X71" s="48"/>
    </row>
    <row r="72" spans="1:24" ht="16.5" thickBot="1" x14ac:dyDescent="0.3">
      <c r="A72" s="9"/>
      <c r="B72" s="106"/>
      <c r="C72" s="114" t="s">
        <v>50</v>
      </c>
      <c r="D72" s="114"/>
      <c r="E72" s="114"/>
      <c r="F72" s="8">
        <v>0.02</v>
      </c>
      <c r="G72" s="88"/>
      <c r="H72" s="88"/>
      <c r="I72" s="88"/>
      <c r="J72" s="115">
        <v>2016</v>
      </c>
      <c r="K72" s="116">
        <f>+Heizkostenvergleich!D120</f>
        <v>510</v>
      </c>
      <c r="L72" s="117">
        <f>(G38+G39)</f>
        <v>138</v>
      </c>
      <c r="M72" s="118">
        <f>(G44+G45+G46)</f>
        <v>270</v>
      </c>
      <c r="N72" s="119">
        <f>G53</f>
        <v>320</v>
      </c>
      <c r="O72" s="120">
        <f>SUM(K72:N72)</f>
        <v>1238</v>
      </c>
      <c r="P72" s="120">
        <f>O72*0.19</f>
        <v>235.22</v>
      </c>
      <c r="Q72" s="121">
        <f>SUM(O72:P72)</f>
        <v>1473.22</v>
      </c>
      <c r="R72" s="88"/>
      <c r="S72" s="88"/>
      <c r="T72" s="22"/>
      <c r="U72" s="88"/>
      <c r="V72" s="48"/>
      <c r="W72" s="48"/>
      <c r="X72" s="48"/>
    </row>
    <row r="73" spans="1:24" ht="15.75" x14ac:dyDescent="0.25">
      <c r="A73" s="9"/>
      <c r="B73" s="106"/>
      <c r="C73" s="114"/>
      <c r="D73" s="114"/>
      <c r="E73" s="114"/>
      <c r="F73" s="122"/>
      <c r="G73" s="88"/>
      <c r="H73" s="88"/>
      <c r="I73" s="88"/>
      <c r="J73" s="123">
        <v>2017</v>
      </c>
      <c r="K73" s="124">
        <f>+IF(Heizkostenvergleich!$F$7="Gas",(Heizkostenvergleich!$F$70+1),(1+$F$71))*K72</f>
        <v>525.30000000000007</v>
      </c>
      <c r="L73" s="125">
        <f t="shared" ref="L73:L82" si="1">+L72*($F$72+1)</f>
        <v>140.76</v>
      </c>
      <c r="M73" s="126">
        <f t="shared" ref="M73:M82" si="2">+M72*($F$72+1)</f>
        <v>275.39999999999998</v>
      </c>
      <c r="N73" s="127">
        <f>N72</f>
        <v>320</v>
      </c>
      <c r="O73" s="128">
        <f t="shared" ref="O73:O82" si="3">SUM(K73:N73)</f>
        <v>1261.46</v>
      </c>
      <c r="P73" s="128">
        <f t="shared" ref="P73:P82" si="4">O73*0.19</f>
        <v>239.67740000000001</v>
      </c>
      <c r="Q73" s="129">
        <f t="shared" ref="Q73:Q82" si="5">SUM(O73:P73)</f>
        <v>1501.1374000000001</v>
      </c>
      <c r="R73" s="88"/>
      <c r="S73" s="88"/>
      <c r="T73" s="22"/>
      <c r="U73" s="88"/>
      <c r="V73" s="48"/>
      <c r="W73" s="48"/>
      <c r="X73" s="48"/>
    </row>
    <row r="74" spans="1:24" ht="15.75" x14ac:dyDescent="0.25">
      <c r="A74" s="9"/>
      <c r="B74" s="106"/>
      <c r="C74" s="88"/>
      <c r="D74" s="88"/>
      <c r="E74" s="88"/>
      <c r="F74" s="88"/>
      <c r="G74" s="88"/>
      <c r="H74" s="88"/>
      <c r="I74" s="88"/>
      <c r="J74" s="123">
        <v>2018</v>
      </c>
      <c r="K74" s="124">
        <f>+IF(Heizkostenvergleich!$F$7="Gas",(Heizkostenvergleich!$F$70+1),(1+$F$71))*K73</f>
        <v>541.05900000000008</v>
      </c>
      <c r="L74" s="125">
        <f t="shared" si="1"/>
        <v>143.5752</v>
      </c>
      <c r="M74" s="126">
        <f t="shared" si="2"/>
        <v>280.90799999999996</v>
      </c>
      <c r="N74" s="127">
        <f>N73</f>
        <v>320</v>
      </c>
      <c r="O74" s="128">
        <f>SUM(K74:N74)</f>
        <v>1285.5422000000001</v>
      </c>
      <c r="P74" s="128">
        <f t="shared" si="4"/>
        <v>244.25301800000003</v>
      </c>
      <c r="Q74" s="129">
        <f t="shared" si="5"/>
        <v>1529.7952180000002</v>
      </c>
      <c r="R74" s="88"/>
      <c r="S74" s="88"/>
      <c r="T74" s="22"/>
      <c r="U74" s="88"/>
      <c r="V74" s="48"/>
      <c r="W74" s="48"/>
      <c r="X74" s="48"/>
    </row>
    <row r="75" spans="1:24" ht="15.75" x14ac:dyDescent="0.25">
      <c r="A75" s="9"/>
      <c r="B75" s="106"/>
      <c r="C75" s="88"/>
      <c r="D75" s="88"/>
      <c r="E75" s="88"/>
      <c r="F75" s="88"/>
      <c r="G75" s="88"/>
      <c r="H75" s="88"/>
      <c r="I75" s="88"/>
      <c r="J75" s="123">
        <v>2019</v>
      </c>
      <c r="K75" s="124">
        <f>+IF(Heizkostenvergleich!$F$7="Gas",(Heizkostenvergleich!$F$70+1),(1+$F$71))*K74</f>
        <v>557.29077000000007</v>
      </c>
      <c r="L75" s="125">
        <f t="shared" si="1"/>
        <v>146.44670400000001</v>
      </c>
      <c r="M75" s="126">
        <f t="shared" si="2"/>
        <v>286.52615999999995</v>
      </c>
      <c r="N75" s="127">
        <f t="shared" ref="N75:N82" si="6">N74</f>
        <v>320</v>
      </c>
      <c r="O75" s="128">
        <f t="shared" si="3"/>
        <v>1310.2636339999999</v>
      </c>
      <c r="P75" s="128">
        <f t="shared" si="4"/>
        <v>248.95009045999998</v>
      </c>
      <c r="Q75" s="129">
        <f t="shared" si="5"/>
        <v>1559.2137244599999</v>
      </c>
      <c r="R75" s="88"/>
      <c r="S75" s="88"/>
      <c r="T75" s="22"/>
      <c r="U75" s="88"/>
      <c r="V75" s="48"/>
      <c r="W75" s="48"/>
      <c r="X75" s="48"/>
    </row>
    <row r="76" spans="1:24" ht="15.75" x14ac:dyDescent="0.25">
      <c r="A76" s="9"/>
      <c r="B76" s="106"/>
      <c r="C76" s="88"/>
      <c r="D76" s="88"/>
      <c r="E76" s="88"/>
      <c r="F76" s="88"/>
      <c r="G76" s="88"/>
      <c r="H76" s="88"/>
      <c r="I76" s="88"/>
      <c r="J76" s="123">
        <v>2020</v>
      </c>
      <c r="K76" s="124">
        <f>+IF(Heizkostenvergleich!$F$7="Gas",(Heizkostenvergleich!$F$70+1),(1+$F$71))*K75</f>
        <v>574.0094931000001</v>
      </c>
      <c r="L76" s="125">
        <f t="shared" si="1"/>
        <v>149.37563808000002</v>
      </c>
      <c r="M76" s="126">
        <f t="shared" si="2"/>
        <v>292.25668319999994</v>
      </c>
      <c r="N76" s="127">
        <f t="shared" si="6"/>
        <v>320</v>
      </c>
      <c r="O76" s="128">
        <f t="shared" si="3"/>
        <v>1335.6418143800001</v>
      </c>
      <c r="P76" s="128">
        <f t="shared" si="4"/>
        <v>253.77194473220004</v>
      </c>
      <c r="Q76" s="129">
        <f t="shared" si="5"/>
        <v>1589.4137591122003</v>
      </c>
      <c r="R76" s="88"/>
      <c r="S76" s="88"/>
      <c r="T76" s="22"/>
      <c r="U76" s="88"/>
      <c r="V76" s="48"/>
      <c r="W76" s="48"/>
      <c r="X76" s="48"/>
    </row>
    <row r="77" spans="1:24" ht="15.75" x14ac:dyDescent="0.25">
      <c r="A77" s="9"/>
      <c r="B77" s="106"/>
      <c r="C77" s="88"/>
      <c r="D77" s="88"/>
      <c r="E77" s="88"/>
      <c r="F77" s="88"/>
      <c r="G77" s="88"/>
      <c r="H77" s="88"/>
      <c r="I77" s="88"/>
      <c r="J77" s="123">
        <v>2021</v>
      </c>
      <c r="K77" s="124">
        <f>+IF(Heizkostenvergleich!$F$7="Gas",(Heizkostenvergleich!$F$70+1),(1+$F$71))*K76</f>
        <v>591.22977789300012</v>
      </c>
      <c r="L77" s="125">
        <f t="shared" si="1"/>
        <v>152.36315084160003</v>
      </c>
      <c r="M77" s="126">
        <f t="shared" si="2"/>
        <v>298.10181686399994</v>
      </c>
      <c r="N77" s="127">
        <f t="shared" si="6"/>
        <v>320</v>
      </c>
      <c r="O77" s="128">
        <f t="shared" si="3"/>
        <v>1361.6947455986001</v>
      </c>
      <c r="P77" s="128">
        <f t="shared" si="4"/>
        <v>258.72200166373403</v>
      </c>
      <c r="Q77" s="129">
        <f t="shared" si="5"/>
        <v>1620.4167472623342</v>
      </c>
      <c r="R77" s="88"/>
      <c r="S77" s="88"/>
      <c r="T77" s="22"/>
      <c r="U77" s="88"/>
      <c r="V77" s="48"/>
      <c r="W77" s="48"/>
      <c r="X77" s="48"/>
    </row>
    <row r="78" spans="1:24" ht="15.75" x14ac:dyDescent="0.25">
      <c r="A78" s="9"/>
      <c r="B78" s="106"/>
      <c r="C78" s="88"/>
      <c r="D78" s="88"/>
      <c r="E78" s="88"/>
      <c r="F78" s="88"/>
      <c r="G78" s="88"/>
      <c r="H78" s="88"/>
      <c r="I78" s="88"/>
      <c r="J78" s="123">
        <v>2022</v>
      </c>
      <c r="K78" s="124">
        <f>+IF(Heizkostenvergleich!$F$7="Gas",(Heizkostenvergleich!$F$70+1),(1+$F$71))*K77</f>
        <v>608.96667122979011</v>
      </c>
      <c r="L78" s="125">
        <f t="shared" si="1"/>
        <v>155.41041385843204</v>
      </c>
      <c r="M78" s="126">
        <f t="shared" si="2"/>
        <v>304.06385320127993</v>
      </c>
      <c r="N78" s="127">
        <f t="shared" si="6"/>
        <v>320</v>
      </c>
      <c r="O78" s="128">
        <f t="shared" si="3"/>
        <v>1388.4409382895021</v>
      </c>
      <c r="P78" s="128">
        <f t="shared" si="4"/>
        <v>263.80377827500541</v>
      </c>
      <c r="Q78" s="129">
        <f t="shared" si="5"/>
        <v>1652.2447165645076</v>
      </c>
      <c r="R78" s="88"/>
      <c r="S78" s="88"/>
      <c r="T78" s="22"/>
      <c r="U78" s="88"/>
      <c r="V78" s="48"/>
      <c r="W78" s="48"/>
      <c r="X78" s="48"/>
    </row>
    <row r="79" spans="1:24" ht="15.75" x14ac:dyDescent="0.25">
      <c r="A79" s="9"/>
      <c r="B79" s="106"/>
      <c r="C79" s="88"/>
      <c r="D79" s="88"/>
      <c r="E79" s="88"/>
      <c r="F79" s="88"/>
      <c r="G79" s="88"/>
      <c r="H79" s="88"/>
      <c r="I79" s="88"/>
      <c r="J79" s="123">
        <v>2023</v>
      </c>
      <c r="K79" s="124">
        <f>+IF(Heizkostenvergleich!$F$7="Gas",(Heizkostenvergleich!$F$70+1),(1+$F$71))*K78</f>
        <v>627.23567136668385</v>
      </c>
      <c r="L79" s="125">
        <f t="shared" si="1"/>
        <v>158.51862213560068</v>
      </c>
      <c r="M79" s="126">
        <f t="shared" si="2"/>
        <v>310.14513026530551</v>
      </c>
      <c r="N79" s="127">
        <f t="shared" si="6"/>
        <v>320</v>
      </c>
      <c r="O79" s="128">
        <f t="shared" si="3"/>
        <v>1415.8994237675902</v>
      </c>
      <c r="P79" s="128">
        <f t="shared" si="4"/>
        <v>269.02089051584215</v>
      </c>
      <c r="Q79" s="129">
        <f t="shared" si="5"/>
        <v>1684.9203142834324</v>
      </c>
      <c r="R79" s="88"/>
      <c r="S79" s="88"/>
      <c r="T79" s="22"/>
      <c r="U79" s="88"/>
      <c r="V79" s="48"/>
      <c r="W79" s="48"/>
      <c r="X79" s="48"/>
    </row>
    <row r="80" spans="1:24" ht="15.75" x14ac:dyDescent="0.25">
      <c r="A80" s="9"/>
      <c r="B80" s="106"/>
      <c r="C80" s="88"/>
      <c r="D80" s="88"/>
      <c r="E80" s="88"/>
      <c r="F80" s="88"/>
      <c r="G80" s="88"/>
      <c r="H80" s="88"/>
      <c r="I80" s="88"/>
      <c r="J80" s="123">
        <v>2024</v>
      </c>
      <c r="K80" s="124">
        <f>+IF(Heizkostenvergleich!$F$7="Gas",(Heizkostenvergleich!$F$70+1),(1+$F$71))*K79</f>
        <v>646.05274150768435</v>
      </c>
      <c r="L80" s="125">
        <f t="shared" si="1"/>
        <v>161.6889945783127</v>
      </c>
      <c r="M80" s="126">
        <f t="shared" si="2"/>
        <v>316.34803287061163</v>
      </c>
      <c r="N80" s="127">
        <f t="shared" si="6"/>
        <v>320</v>
      </c>
      <c r="O80" s="128">
        <f t="shared" si="3"/>
        <v>1444.0897689566086</v>
      </c>
      <c r="P80" s="128">
        <f t="shared" si="4"/>
        <v>274.37705610175561</v>
      </c>
      <c r="Q80" s="129">
        <f t="shared" si="5"/>
        <v>1718.4668250583643</v>
      </c>
      <c r="R80" s="88"/>
      <c r="S80" s="88"/>
      <c r="T80" s="22"/>
      <c r="U80" s="88"/>
      <c r="V80" s="48"/>
      <c r="W80" s="48"/>
      <c r="X80" s="48"/>
    </row>
    <row r="81" spans="1:24" ht="15.75" x14ac:dyDescent="0.25">
      <c r="A81" s="9"/>
      <c r="B81" s="106"/>
      <c r="C81" s="88"/>
      <c r="D81" s="88"/>
      <c r="E81" s="88"/>
      <c r="F81" s="88"/>
      <c r="G81" s="88"/>
      <c r="H81" s="88"/>
      <c r="I81" s="88"/>
      <c r="J81" s="123">
        <v>2025</v>
      </c>
      <c r="K81" s="124">
        <f>+IF(Heizkostenvergleich!$F$7="Gas",(Heizkostenvergleich!$F$70+1),(1+$F$71))*K80</f>
        <v>665.43432375291491</v>
      </c>
      <c r="L81" s="125">
        <f t="shared" si="1"/>
        <v>164.92277446987896</v>
      </c>
      <c r="M81" s="126">
        <f t="shared" si="2"/>
        <v>322.67499352802389</v>
      </c>
      <c r="N81" s="127">
        <f t="shared" si="6"/>
        <v>320</v>
      </c>
      <c r="O81" s="128">
        <f t="shared" si="3"/>
        <v>1473.0320917508177</v>
      </c>
      <c r="P81" s="128">
        <f t="shared" si="4"/>
        <v>279.87609743265534</v>
      </c>
      <c r="Q81" s="129">
        <f t="shared" si="5"/>
        <v>1752.908189183473</v>
      </c>
      <c r="R81" s="88"/>
      <c r="S81" s="88"/>
      <c r="T81" s="22"/>
      <c r="U81" s="88"/>
      <c r="V81" s="48"/>
      <c r="W81" s="48"/>
      <c r="X81" s="48"/>
    </row>
    <row r="82" spans="1:24" ht="16.5" thickBot="1" x14ac:dyDescent="0.3">
      <c r="A82" s="9"/>
      <c r="B82" s="106"/>
      <c r="C82" s="88"/>
      <c r="D82" s="88"/>
      <c r="E82" s="88"/>
      <c r="F82" s="88"/>
      <c r="G82" s="88"/>
      <c r="H82" s="88"/>
      <c r="I82" s="88"/>
      <c r="J82" s="130">
        <v>2026</v>
      </c>
      <c r="K82" s="131">
        <f>+IF(Heizkostenvergleich!$F$7="Gas",(Heizkostenvergleich!$F$70+1),(1+$F$71))*K81</f>
        <v>685.39735346550242</v>
      </c>
      <c r="L82" s="132">
        <f t="shared" si="1"/>
        <v>168.22122995927654</v>
      </c>
      <c r="M82" s="133">
        <f t="shared" si="2"/>
        <v>329.1284933985844</v>
      </c>
      <c r="N82" s="134">
        <f t="shared" si="6"/>
        <v>320</v>
      </c>
      <c r="O82" s="135">
        <f t="shared" si="3"/>
        <v>1502.7470768233634</v>
      </c>
      <c r="P82" s="135">
        <f t="shared" si="4"/>
        <v>285.52194459643903</v>
      </c>
      <c r="Q82" s="136">
        <f t="shared" si="5"/>
        <v>1788.2690214198024</v>
      </c>
      <c r="R82" s="88"/>
      <c r="S82" s="88"/>
      <c r="T82" s="22"/>
      <c r="U82" s="88"/>
      <c r="V82" s="48"/>
      <c r="W82" s="48"/>
      <c r="X82" s="48"/>
    </row>
    <row r="83" spans="1:24" ht="15.75" x14ac:dyDescent="0.25">
      <c r="A83" s="9"/>
      <c r="B83" s="106"/>
      <c r="C83" s="88"/>
      <c r="D83" s="88"/>
      <c r="E83" s="88"/>
      <c r="F83" s="88"/>
      <c r="G83" s="88"/>
      <c r="H83" s="88"/>
      <c r="I83" s="88"/>
      <c r="J83" s="137"/>
      <c r="K83" s="125"/>
      <c r="L83" s="125"/>
      <c r="M83" s="126"/>
      <c r="N83" s="138"/>
      <c r="O83" s="139"/>
      <c r="P83" s="126"/>
      <c r="Q83" s="140"/>
      <c r="R83" s="88"/>
      <c r="S83" s="141"/>
      <c r="T83" s="142"/>
      <c r="U83" s="88"/>
      <c r="V83" s="48"/>
      <c r="W83" s="48"/>
      <c r="X83" s="48"/>
    </row>
    <row r="84" spans="1:24" ht="27" thickBot="1" x14ac:dyDescent="0.3">
      <c r="A84" s="9"/>
      <c r="B84" s="106"/>
      <c r="C84" s="88"/>
      <c r="D84" s="88"/>
      <c r="E84" s="88"/>
      <c r="F84" s="88"/>
      <c r="G84" s="88"/>
      <c r="H84" s="88"/>
      <c r="I84" s="88"/>
      <c r="J84" s="113" t="s">
        <v>32</v>
      </c>
      <c r="K84" s="125"/>
      <c r="L84" s="125"/>
      <c r="M84" s="126"/>
      <c r="N84" s="138"/>
      <c r="O84" s="139"/>
      <c r="P84" s="126"/>
      <c r="Q84" s="140"/>
      <c r="R84" s="88"/>
      <c r="S84" s="141"/>
      <c r="T84" s="142"/>
      <c r="U84" s="88"/>
      <c r="V84" s="48"/>
      <c r="W84" s="48"/>
      <c r="X84" s="48"/>
    </row>
    <row r="85" spans="1:24" ht="15.75" x14ac:dyDescent="0.25">
      <c r="A85" s="9"/>
      <c r="B85" s="106"/>
      <c r="C85" s="88"/>
      <c r="D85" s="88"/>
      <c r="E85" s="88"/>
      <c r="F85" s="88"/>
      <c r="G85" s="88"/>
      <c r="H85" s="88"/>
      <c r="I85" s="88"/>
      <c r="J85" s="197" t="s">
        <v>43</v>
      </c>
      <c r="K85" s="197" t="s">
        <v>44</v>
      </c>
      <c r="L85" s="199" t="s">
        <v>94</v>
      </c>
      <c r="M85" s="206" t="s">
        <v>45</v>
      </c>
      <c r="N85" s="211" t="s">
        <v>93</v>
      </c>
      <c r="O85" s="214" t="s">
        <v>95</v>
      </c>
      <c r="P85" s="211" t="s">
        <v>60</v>
      </c>
      <c r="Q85" s="195" t="s">
        <v>31</v>
      </c>
      <c r="R85" s="88"/>
      <c r="S85" s="141"/>
      <c r="T85" s="142"/>
      <c r="U85" s="88"/>
      <c r="V85" s="48"/>
      <c r="W85" s="48"/>
      <c r="X85" s="48"/>
    </row>
    <row r="86" spans="1:24" ht="16.5" thickBot="1" x14ac:dyDescent="0.3">
      <c r="A86" s="9"/>
      <c r="B86" s="106"/>
      <c r="C86" s="88"/>
      <c r="D86" s="88"/>
      <c r="E86" s="88"/>
      <c r="F86" s="88"/>
      <c r="G86" s="88"/>
      <c r="H86" s="88"/>
      <c r="I86" s="88"/>
      <c r="J86" s="198"/>
      <c r="K86" s="198"/>
      <c r="L86" s="216"/>
      <c r="M86" s="213"/>
      <c r="N86" s="212"/>
      <c r="O86" s="215"/>
      <c r="P86" s="212"/>
      <c r="Q86" s="196"/>
      <c r="R86" s="88"/>
      <c r="S86" s="141"/>
      <c r="T86" s="142"/>
      <c r="U86" s="88"/>
      <c r="V86" s="48"/>
      <c r="W86" s="48"/>
      <c r="X86" s="48"/>
    </row>
    <row r="87" spans="1:24" ht="15.75" x14ac:dyDescent="0.25">
      <c r="A87" s="9"/>
      <c r="B87" s="106"/>
      <c r="C87" s="88"/>
      <c r="D87" s="88"/>
      <c r="E87" s="88"/>
      <c r="F87" s="88"/>
      <c r="G87" s="88"/>
      <c r="H87" s="88"/>
      <c r="I87" s="88"/>
      <c r="J87" s="143">
        <v>2016</v>
      </c>
      <c r="K87" s="144">
        <f>Q40</f>
        <v>428.9590163934426</v>
      </c>
      <c r="L87" s="120">
        <f>SUM(P38:Q39)</f>
        <v>400</v>
      </c>
      <c r="M87" s="145">
        <f>Q44</f>
        <v>10</v>
      </c>
      <c r="N87" s="146">
        <f>Q53</f>
        <v>150</v>
      </c>
      <c r="O87" s="147">
        <f>SUM(K87:N87)</f>
        <v>988.95901639344265</v>
      </c>
      <c r="P87" s="148">
        <f>O87*0.19</f>
        <v>187.90221311475412</v>
      </c>
      <c r="Q87" s="149">
        <f>SUM(O87:P87)</f>
        <v>1176.8612295081969</v>
      </c>
      <c r="R87" s="88"/>
      <c r="S87" s="141"/>
      <c r="T87" s="142"/>
      <c r="U87" s="88"/>
      <c r="V87" s="48"/>
      <c r="W87" s="48"/>
      <c r="X87" s="48"/>
    </row>
    <row r="88" spans="1:24" ht="15.75" x14ac:dyDescent="0.25">
      <c r="A88" s="9"/>
      <c r="B88" s="106"/>
      <c r="C88" s="88"/>
      <c r="D88" s="88"/>
      <c r="E88" s="88"/>
      <c r="F88" s="88"/>
      <c r="G88" s="88"/>
      <c r="H88" s="88"/>
      <c r="I88" s="88"/>
      <c r="J88" s="143">
        <v>2017</v>
      </c>
      <c r="K88" s="150">
        <f t="shared" ref="K88:K97" si="7">+K87*(((1+$F$70)*0.7)+0.3)</f>
        <v>437.96715573770484</v>
      </c>
      <c r="L88" s="126">
        <f>L87</f>
        <v>400</v>
      </c>
      <c r="M88" s="125">
        <f t="shared" ref="M88:M96" si="8">M87*(1+$F$72)</f>
        <v>10.199999999999999</v>
      </c>
      <c r="N88" s="151">
        <f>N87</f>
        <v>150</v>
      </c>
      <c r="O88" s="152">
        <f t="shared" ref="O88:O97" si="9">SUM(K88:N88)</f>
        <v>998.16715573770489</v>
      </c>
      <c r="P88" s="153">
        <f t="shared" ref="P88:P97" si="10">O88*0.19</f>
        <v>189.65175959016392</v>
      </c>
      <c r="Q88" s="154">
        <f t="shared" ref="Q88:Q97" si="11">SUM(O88:P88)</f>
        <v>1187.8189153278688</v>
      </c>
      <c r="R88" s="88"/>
      <c r="S88" s="141"/>
      <c r="T88" s="142"/>
      <c r="U88" s="88"/>
      <c r="V88" s="48"/>
      <c r="W88" s="48"/>
      <c r="X88" s="48"/>
    </row>
    <row r="89" spans="1:24" ht="15.75" x14ac:dyDescent="0.25">
      <c r="A89" s="9"/>
      <c r="B89" s="106"/>
      <c r="C89" s="88"/>
      <c r="D89" s="88"/>
      <c r="E89" s="88"/>
      <c r="F89" s="88"/>
      <c r="G89" s="88"/>
      <c r="H89" s="88"/>
      <c r="I89" s="88"/>
      <c r="J89" s="143">
        <v>2018</v>
      </c>
      <c r="K89" s="150">
        <f t="shared" si="7"/>
        <v>447.1644660081966</v>
      </c>
      <c r="L89" s="126">
        <f t="shared" ref="L89:L97" si="12">L88</f>
        <v>400</v>
      </c>
      <c r="M89" s="125">
        <f t="shared" si="8"/>
        <v>10.404</v>
      </c>
      <c r="N89" s="151">
        <f t="shared" ref="N89:N97" si="13">N88</f>
        <v>150</v>
      </c>
      <c r="O89" s="152">
        <f t="shared" si="9"/>
        <v>1007.5684660081965</v>
      </c>
      <c r="P89" s="153">
        <f t="shared" si="10"/>
        <v>191.43800854155734</v>
      </c>
      <c r="Q89" s="154">
        <f t="shared" si="11"/>
        <v>1199.0064745497539</v>
      </c>
      <c r="R89" s="88"/>
      <c r="S89" s="141"/>
      <c r="T89" s="142"/>
      <c r="U89" s="88"/>
      <c r="V89" s="48"/>
      <c r="W89" s="48"/>
      <c r="X89" s="48"/>
    </row>
    <row r="90" spans="1:24" ht="15.75" x14ac:dyDescent="0.25">
      <c r="A90" s="9"/>
      <c r="B90" s="106"/>
      <c r="C90" s="88"/>
      <c r="D90" s="88"/>
      <c r="E90" s="88"/>
      <c r="F90" s="88"/>
      <c r="G90" s="88"/>
      <c r="H90" s="88"/>
      <c r="I90" s="88"/>
      <c r="J90" s="143">
        <v>2019</v>
      </c>
      <c r="K90" s="150">
        <f t="shared" si="7"/>
        <v>456.55491979436869</v>
      </c>
      <c r="L90" s="126">
        <f t="shared" si="12"/>
        <v>400</v>
      </c>
      <c r="M90" s="125">
        <f t="shared" si="8"/>
        <v>10.612080000000001</v>
      </c>
      <c r="N90" s="151">
        <f t="shared" si="13"/>
        <v>150</v>
      </c>
      <c r="O90" s="152">
        <f t="shared" si="9"/>
        <v>1017.1669997943687</v>
      </c>
      <c r="P90" s="153">
        <f t="shared" si="10"/>
        <v>193.26172996093007</v>
      </c>
      <c r="Q90" s="154">
        <f t="shared" si="11"/>
        <v>1210.4287297552987</v>
      </c>
      <c r="R90" s="88"/>
      <c r="S90" s="141"/>
      <c r="T90" s="142"/>
      <c r="U90" s="88"/>
      <c r="V90" s="48"/>
      <c r="W90" s="48"/>
      <c r="X90" s="48"/>
    </row>
    <row r="91" spans="1:24" ht="15.75" x14ac:dyDescent="0.25">
      <c r="A91" s="9"/>
      <c r="B91" s="106"/>
      <c r="C91" s="88"/>
      <c r="D91" s="88"/>
      <c r="E91" s="88"/>
      <c r="F91" s="88"/>
      <c r="G91" s="88"/>
      <c r="H91" s="88"/>
      <c r="I91" s="88"/>
      <c r="J91" s="143">
        <v>2020</v>
      </c>
      <c r="K91" s="150">
        <f t="shared" si="7"/>
        <v>466.14257311005036</v>
      </c>
      <c r="L91" s="126">
        <f t="shared" si="12"/>
        <v>400</v>
      </c>
      <c r="M91" s="125">
        <f t="shared" si="8"/>
        <v>10.824321600000001</v>
      </c>
      <c r="N91" s="151">
        <f t="shared" si="13"/>
        <v>150</v>
      </c>
      <c r="O91" s="152">
        <f t="shared" si="9"/>
        <v>1026.9668947100504</v>
      </c>
      <c r="P91" s="153">
        <f t="shared" si="10"/>
        <v>195.12370999490958</v>
      </c>
      <c r="Q91" s="154">
        <f t="shared" si="11"/>
        <v>1222.09060470496</v>
      </c>
      <c r="R91" s="88"/>
      <c r="S91" s="141"/>
      <c r="T91" s="142"/>
      <c r="U91" s="88"/>
      <c r="V91" s="48"/>
      <c r="W91" s="48"/>
      <c r="X91" s="48"/>
    </row>
    <row r="92" spans="1:24" ht="15.75" x14ac:dyDescent="0.25">
      <c r="A92" s="9"/>
      <c r="B92" s="106"/>
      <c r="C92" s="88"/>
      <c r="D92" s="88"/>
      <c r="E92" s="88"/>
      <c r="F92" s="88"/>
      <c r="G92" s="88"/>
      <c r="H92" s="88"/>
      <c r="I92" s="88"/>
      <c r="J92" s="143">
        <v>2021</v>
      </c>
      <c r="K92" s="150">
        <f t="shared" si="7"/>
        <v>475.93156714536138</v>
      </c>
      <c r="L92" s="126">
        <f t="shared" si="12"/>
        <v>400</v>
      </c>
      <c r="M92" s="125">
        <f t="shared" si="8"/>
        <v>11.040808032000001</v>
      </c>
      <c r="N92" s="151">
        <f t="shared" si="13"/>
        <v>150</v>
      </c>
      <c r="O92" s="152">
        <f t="shared" si="9"/>
        <v>1036.9723751773613</v>
      </c>
      <c r="P92" s="153">
        <f t="shared" si="10"/>
        <v>197.02475128369866</v>
      </c>
      <c r="Q92" s="154">
        <f t="shared" si="11"/>
        <v>1233.9971264610599</v>
      </c>
      <c r="R92" s="88"/>
      <c r="S92" s="141"/>
      <c r="T92" s="142"/>
      <c r="U92" s="88"/>
      <c r="V92" s="48"/>
      <c r="W92" s="48"/>
      <c r="X92" s="48"/>
    </row>
    <row r="93" spans="1:24" ht="15.75" x14ac:dyDescent="0.25">
      <c r="A93" s="9"/>
      <c r="B93" s="106"/>
      <c r="C93" s="88"/>
      <c r="D93" s="88"/>
      <c r="E93" s="88"/>
      <c r="F93" s="88"/>
      <c r="G93" s="88"/>
      <c r="H93" s="88"/>
      <c r="I93" s="88"/>
      <c r="J93" s="143">
        <v>2022</v>
      </c>
      <c r="K93" s="150">
        <f t="shared" si="7"/>
        <v>485.92613005541392</v>
      </c>
      <c r="L93" s="126">
        <f t="shared" si="12"/>
        <v>400</v>
      </c>
      <c r="M93" s="125">
        <f t="shared" si="8"/>
        <v>11.261624192640001</v>
      </c>
      <c r="N93" s="151">
        <f t="shared" si="13"/>
        <v>150</v>
      </c>
      <c r="O93" s="152">
        <f t="shared" si="9"/>
        <v>1047.187754248054</v>
      </c>
      <c r="P93" s="153">
        <f t="shared" si="10"/>
        <v>198.96567330713026</v>
      </c>
      <c r="Q93" s="154">
        <f t="shared" si="11"/>
        <v>1246.1534275551844</v>
      </c>
      <c r="R93" s="88"/>
      <c r="S93" s="141"/>
      <c r="T93" s="142"/>
      <c r="U93" s="88"/>
      <c r="V93" s="48"/>
      <c r="W93" s="48"/>
      <c r="X93" s="48"/>
    </row>
    <row r="94" spans="1:24" ht="15.75" x14ac:dyDescent="0.25">
      <c r="A94" s="9"/>
      <c r="B94" s="106"/>
      <c r="C94" s="88"/>
      <c r="D94" s="88"/>
      <c r="E94" s="88"/>
      <c r="F94" s="88"/>
      <c r="G94" s="88"/>
      <c r="H94" s="88"/>
      <c r="I94" s="88"/>
      <c r="J94" s="143">
        <v>2023</v>
      </c>
      <c r="K94" s="150">
        <f t="shared" si="7"/>
        <v>496.13057878657759</v>
      </c>
      <c r="L94" s="126">
        <f t="shared" si="12"/>
        <v>400</v>
      </c>
      <c r="M94" s="125">
        <f t="shared" si="8"/>
        <v>11.486856676492801</v>
      </c>
      <c r="N94" s="151">
        <f t="shared" si="13"/>
        <v>150</v>
      </c>
      <c r="O94" s="152">
        <f t="shared" si="9"/>
        <v>1057.6174354630705</v>
      </c>
      <c r="P94" s="153">
        <f t="shared" si="10"/>
        <v>200.9473127379834</v>
      </c>
      <c r="Q94" s="154">
        <f t="shared" si="11"/>
        <v>1258.5647482010538</v>
      </c>
      <c r="R94" s="88"/>
      <c r="S94" s="141"/>
      <c r="T94" s="142"/>
      <c r="U94" s="88"/>
      <c r="V94" s="48"/>
      <c r="W94" s="48"/>
      <c r="X94" s="48"/>
    </row>
    <row r="95" spans="1:24" ht="15.75" x14ac:dyDescent="0.25">
      <c r="A95" s="9"/>
      <c r="B95" s="106"/>
      <c r="C95" s="88"/>
      <c r="D95" s="88"/>
      <c r="E95" s="88"/>
      <c r="F95" s="88"/>
      <c r="G95" s="88"/>
      <c r="H95" s="88"/>
      <c r="I95" s="88"/>
      <c r="J95" s="143">
        <v>2024</v>
      </c>
      <c r="K95" s="150">
        <f t="shared" si="7"/>
        <v>506.54932094109569</v>
      </c>
      <c r="L95" s="126">
        <f t="shared" si="12"/>
        <v>400</v>
      </c>
      <c r="M95" s="125">
        <f t="shared" si="8"/>
        <v>11.716593810022657</v>
      </c>
      <c r="N95" s="151">
        <f t="shared" si="13"/>
        <v>150</v>
      </c>
      <c r="O95" s="152">
        <f t="shared" si="9"/>
        <v>1068.2659147511183</v>
      </c>
      <c r="P95" s="153">
        <f t="shared" si="10"/>
        <v>202.97052380271248</v>
      </c>
      <c r="Q95" s="154">
        <f t="shared" si="11"/>
        <v>1271.2364385538308</v>
      </c>
      <c r="R95" s="88"/>
      <c r="S95" s="141"/>
      <c r="T95" s="142"/>
      <c r="U95" s="88"/>
      <c r="V95" s="48"/>
      <c r="W95" s="48"/>
      <c r="X95" s="48"/>
    </row>
    <row r="96" spans="1:24" ht="15.75" x14ac:dyDescent="0.25">
      <c r="A96" s="9"/>
      <c r="B96" s="106"/>
      <c r="C96" s="88"/>
      <c r="D96" s="88"/>
      <c r="E96" s="88"/>
      <c r="F96" s="88"/>
      <c r="G96" s="88"/>
      <c r="H96" s="88"/>
      <c r="I96" s="88"/>
      <c r="J96" s="143">
        <v>2025</v>
      </c>
      <c r="K96" s="150">
        <f t="shared" si="7"/>
        <v>517.18685668085868</v>
      </c>
      <c r="L96" s="126">
        <f t="shared" si="12"/>
        <v>400</v>
      </c>
      <c r="M96" s="125">
        <f t="shared" si="8"/>
        <v>11.95092568622311</v>
      </c>
      <c r="N96" s="151">
        <f t="shared" si="13"/>
        <v>150</v>
      </c>
      <c r="O96" s="152">
        <f t="shared" si="9"/>
        <v>1079.1377823670819</v>
      </c>
      <c r="P96" s="153">
        <f t="shared" si="10"/>
        <v>205.03617864974555</v>
      </c>
      <c r="Q96" s="154">
        <f t="shared" si="11"/>
        <v>1284.1739610168274</v>
      </c>
      <c r="R96" s="88"/>
      <c r="S96" s="141"/>
      <c r="T96" s="142"/>
      <c r="U96" s="88"/>
      <c r="V96" s="48"/>
      <c r="W96" s="48"/>
      <c r="X96" s="48"/>
    </row>
    <row r="97" spans="1:24" ht="16.5" thickBot="1" x14ac:dyDescent="0.3">
      <c r="A97" s="9"/>
      <c r="B97" s="106"/>
      <c r="C97" s="88"/>
      <c r="D97" s="88"/>
      <c r="E97" s="88"/>
      <c r="F97" s="88"/>
      <c r="G97" s="88"/>
      <c r="H97" s="88"/>
      <c r="I97" s="88"/>
      <c r="J97" s="155">
        <v>2026</v>
      </c>
      <c r="K97" s="156">
        <f t="shared" si="7"/>
        <v>528.04778067115672</v>
      </c>
      <c r="L97" s="133">
        <f t="shared" si="12"/>
        <v>400</v>
      </c>
      <c r="M97" s="132">
        <f>M96*(1+F83)</f>
        <v>11.95092568622311</v>
      </c>
      <c r="N97" s="157">
        <f t="shared" si="13"/>
        <v>150</v>
      </c>
      <c r="O97" s="158">
        <f t="shared" si="9"/>
        <v>1089.9987063573799</v>
      </c>
      <c r="P97" s="159">
        <f t="shared" si="10"/>
        <v>207.09975420790218</v>
      </c>
      <c r="Q97" s="160">
        <f t="shared" si="11"/>
        <v>1297.098460565282</v>
      </c>
      <c r="R97" s="88"/>
      <c r="S97" s="141"/>
      <c r="T97" s="142"/>
      <c r="U97" s="88"/>
      <c r="V97" s="48"/>
      <c r="W97" s="48"/>
      <c r="X97" s="48"/>
    </row>
    <row r="98" spans="1:24" x14ac:dyDescent="0.25">
      <c r="A98" s="9"/>
      <c r="B98" s="106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22"/>
      <c r="U98" s="9"/>
      <c r="W98" s="48"/>
      <c r="X98" s="48"/>
    </row>
    <row r="99" spans="1:24" ht="15.75" thickBot="1" x14ac:dyDescent="0.3">
      <c r="A99" s="9"/>
      <c r="B99" s="106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22"/>
      <c r="U99" s="9"/>
    </row>
    <row r="100" spans="1:24" ht="27" thickBot="1" x14ac:dyDescent="0.45">
      <c r="A100" s="9"/>
      <c r="B100" s="106"/>
      <c r="C100" s="88"/>
      <c r="D100" s="88"/>
      <c r="E100" s="88"/>
      <c r="F100" s="88"/>
      <c r="G100" s="88"/>
      <c r="H100" s="88"/>
      <c r="I100" s="88"/>
      <c r="J100" s="88"/>
      <c r="K100" s="203" t="s">
        <v>47</v>
      </c>
      <c r="L100" s="204"/>
      <c r="M100" s="204"/>
      <c r="N100" s="204"/>
      <c r="O100" s="204"/>
      <c r="P100" s="201">
        <f>+SUM(Q72:Q82)-SUM(Q87:Q97)</f>
        <v>4282.5757991447936</v>
      </c>
      <c r="Q100" s="202"/>
      <c r="R100" s="48"/>
      <c r="S100" s="161"/>
      <c r="T100" s="162"/>
      <c r="U100" s="9"/>
    </row>
    <row r="101" spans="1:24" x14ac:dyDescent="0.25">
      <c r="A101" s="9"/>
      <c r="B101" s="106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22"/>
      <c r="U101" s="9"/>
    </row>
    <row r="102" spans="1:24" x14ac:dyDescent="0.25">
      <c r="A102" s="9"/>
      <c r="B102" s="106"/>
      <c r="C102" s="88"/>
      <c r="D102" s="88"/>
      <c r="E102" s="88"/>
      <c r="F102" s="88"/>
      <c r="G102" s="88"/>
      <c r="H102" s="88"/>
      <c r="I102" s="88"/>
      <c r="J102" s="48"/>
      <c r="K102" s="88"/>
      <c r="L102" s="88"/>
      <c r="M102" s="88"/>
      <c r="N102" s="88"/>
      <c r="O102" s="88"/>
      <c r="P102" s="88"/>
      <c r="Q102" s="88"/>
      <c r="R102" s="88"/>
      <c r="S102" s="88"/>
      <c r="T102" s="22"/>
      <c r="U102" s="9"/>
    </row>
    <row r="103" spans="1:24" ht="15.75" x14ac:dyDescent="0.25">
      <c r="A103" s="9"/>
      <c r="B103" s="106"/>
      <c r="C103" s="88"/>
      <c r="D103" s="88"/>
      <c r="E103" s="88"/>
      <c r="F103" s="88"/>
      <c r="G103" s="88"/>
      <c r="H103" s="88"/>
      <c r="I103" s="88"/>
      <c r="J103" s="163" t="s">
        <v>89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22"/>
      <c r="U103" s="9"/>
    </row>
    <row r="104" spans="1:24" x14ac:dyDescent="0.25">
      <c r="A104" s="9"/>
      <c r="B104" s="106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48"/>
      <c r="O104" s="88"/>
      <c r="P104" s="88"/>
      <c r="Q104" s="88"/>
      <c r="R104" s="88"/>
      <c r="S104" s="88"/>
      <c r="T104" s="22"/>
      <c r="U104" s="9"/>
    </row>
    <row r="105" spans="1:24" ht="15.75" x14ac:dyDescent="0.25">
      <c r="A105" s="9"/>
      <c r="B105" s="106"/>
      <c r="C105" s="88"/>
      <c r="D105" s="88"/>
      <c r="E105" s="88"/>
      <c r="F105" s="88"/>
      <c r="G105" s="88"/>
      <c r="H105" s="88"/>
      <c r="I105" s="88"/>
      <c r="J105" s="163" t="s">
        <v>90</v>
      </c>
      <c r="K105" s="88"/>
      <c r="L105" s="88"/>
      <c r="M105" s="88"/>
      <c r="N105" s="88"/>
      <c r="O105" s="88"/>
      <c r="P105" s="88"/>
      <c r="Q105" s="88"/>
      <c r="R105" s="88"/>
      <c r="S105" s="88"/>
      <c r="T105" s="22"/>
      <c r="U105" s="9"/>
    </row>
    <row r="106" spans="1:24" ht="15.75" thickBot="1" x14ac:dyDescent="0.3">
      <c r="A106" s="9"/>
      <c r="B106" s="110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2"/>
      <c r="U106" s="9"/>
    </row>
    <row r="107" spans="1:24" ht="37.5" customHeight="1" x14ac:dyDescent="0.25">
      <c r="A107" s="9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00"/>
      <c r="Q107" s="88"/>
      <c r="R107" s="88"/>
      <c r="S107" s="88"/>
      <c r="T107" s="88"/>
      <c r="U107" s="9"/>
    </row>
    <row r="108" spans="1:24" hidden="1" x14ac:dyDescent="0.25">
      <c r="A108" s="9"/>
      <c r="B108" s="9"/>
      <c r="C108" s="9" t="s">
        <v>19</v>
      </c>
      <c r="D108" s="9" t="s">
        <v>22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88"/>
      <c r="Q108" s="9"/>
      <c r="R108" s="9"/>
      <c r="S108" s="9"/>
      <c r="T108" s="9"/>
      <c r="U108" s="9"/>
    </row>
    <row r="109" spans="1:24" hidden="1" x14ac:dyDescent="0.25">
      <c r="A109" s="9"/>
      <c r="B109" s="9"/>
      <c r="C109" s="9" t="s">
        <v>20</v>
      </c>
      <c r="D109" s="9" t="s">
        <v>23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4" hidden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4" hidden="1" x14ac:dyDescent="0.25">
      <c r="U111" s="9"/>
    </row>
    <row r="112" spans="1:24" hidden="1" x14ac:dyDescent="0.25">
      <c r="B112" s="10" t="s">
        <v>24</v>
      </c>
      <c r="U112" s="9"/>
    </row>
    <row r="113" spans="2:21" hidden="1" x14ac:dyDescent="0.25">
      <c r="K113" s="10" t="s">
        <v>28</v>
      </c>
      <c r="U113" s="9"/>
    </row>
    <row r="114" spans="2:21" hidden="1" x14ac:dyDescent="0.25">
      <c r="B114" s="10" t="s">
        <v>25</v>
      </c>
      <c r="C114" s="10" t="s">
        <v>92</v>
      </c>
      <c r="D114" s="10">
        <v>2005</v>
      </c>
      <c r="E114" s="164">
        <v>0.9</v>
      </c>
      <c r="H114" s="165">
        <f>+IF(C18&gt;=D114,E114,IF(C18&gt;=D115,E115,IF(C18&gt;=D116,E116,IF(C18&lt;=D117,E117,"Wert"))))</f>
        <v>0.8</v>
      </c>
      <c r="K114" s="10" t="s">
        <v>20</v>
      </c>
      <c r="L114" s="10">
        <f>D130</f>
        <v>10.68</v>
      </c>
      <c r="M114" s="10" t="s">
        <v>29</v>
      </c>
      <c r="U114" s="9"/>
    </row>
    <row r="115" spans="2:21" hidden="1" x14ac:dyDescent="0.25">
      <c r="C115" s="10" t="s">
        <v>92</v>
      </c>
      <c r="D115" s="10">
        <v>1995</v>
      </c>
      <c r="E115" s="164">
        <v>0.85</v>
      </c>
      <c r="H115" s="165">
        <f>+IF(C19="ja",J20,0)</f>
        <v>0</v>
      </c>
      <c r="U115" s="9"/>
    </row>
    <row r="116" spans="2:21" hidden="1" x14ac:dyDescent="0.25">
      <c r="C116" s="10" t="s">
        <v>92</v>
      </c>
      <c r="D116" s="10">
        <v>1985</v>
      </c>
      <c r="E116" s="164">
        <v>0.8</v>
      </c>
      <c r="G116" s="10" t="s">
        <v>27</v>
      </c>
      <c r="H116" s="164">
        <f>+H114+H115</f>
        <v>0.8</v>
      </c>
      <c r="K116" s="10">
        <f>+IF(F7="Öl",F9*L114/(1+J20)*(J24),F9/(1+J20)*(J24))</f>
        <v>7270.4918032786882</v>
      </c>
      <c r="U116" s="9"/>
    </row>
    <row r="117" spans="2:21" hidden="1" x14ac:dyDescent="0.25">
      <c r="C117" s="10" t="s">
        <v>26</v>
      </c>
      <c r="D117" s="10">
        <v>1985</v>
      </c>
      <c r="E117" s="164">
        <v>0.75</v>
      </c>
      <c r="U117" s="9"/>
    </row>
    <row r="118" spans="2:21" hidden="1" x14ac:dyDescent="0.25">
      <c r="U118" s="9"/>
    </row>
    <row r="119" spans="2:21" hidden="1" x14ac:dyDescent="0.25">
      <c r="D119" s="10" t="s">
        <v>46</v>
      </c>
      <c r="F119" s="10" t="s">
        <v>32</v>
      </c>
      <c r="U119" s="9"/>
    </row>
    <row r="120" spans="2:21" hidden="1" x14ac:dyDescent="0.25">
      <c r="D120" s="166">
        <f>+G40</f>
        <v>510</v>
      </c>
      <c r="F120" s="166">
        <f>+Q40</f>
        <v>428.9590163934426</v>
      </c>
      <c r="U120" s="9"/>
    </row>
    <row r="121" spans="2:21" hidden="1" x14ac:dyDescent="0.25">
      <c r="D121" s="166">
        <f>+G39</f>
        <v>0</v>
      </c>
      <c r="F121" s="166">
        <f>+P39</f>
        <v>150</v>
      </c>
      <c r="U121" s="9"/>
    </row>
    <row r="122" spans="2:21" hidden="1" x14ac:dyDescent="0.25">
      <c r="D122" s="167">
        <f>G38</f>
        <v>138</v>
      </c>
      <c r="F122" s="166">
        <f>+P38</f>
        <v>250</v>
      </c>
      <c r="U122" s="9"/>
    </row>
    <row r="123" spans="2:21" hidden="1" x14ac:dyDescent="0.25">
      <c r="U123" s="9"/>
    </row>
    <row r="124" spans="2:21" hidden="1" x14ac:dyDescent="0.25">
      <c r="P124" s="48"/>
      <c r="U124" s="9"/>
    </row>
    <row r="125" spans="2:21" hidden="1" x14ac:dyDescent="0.25"/>
    <row r="126" spans="2:21" hidden="1" x14ac:dyDescent="0.25"/>
    <row r="127" spans="2:21" ht="39.75" hidden="1" x14ac:dyDescent="0.25">
      <c r="B127" s="168" t="s">
        <v>44</v>
      </c>
      <c r="C127" s="168" t="s">
        <v>74</v>
      </c>
      <c r="D127" s="168" t="s">
        <v>75</v>
      </c>
      <c r="E127" s="168" t="s">
        <v>76</v>
      </c>
      <c r="F127" s="168" t="s">
        <v>77</v>
      </c>
      <c r="G127" s="168" t="s">
        <v>85</v>
      </c>
      <c r="H127" s="168" t="s">
        <v>91</v>
      </c>
    </row>
    <row r="128" spans="2:21" hidden="1" x14ac:dyDescent="0.25">
      <c r="B128" s="169" t="s">
        <v>78</v>
      </c>
      <c r="C128" s="10">
        <v>8.8699999999999992</v>
      </c>
      <c r="D128" s="10">
        <v>9.76</v>
      </c>
      <c r="E128" s="169" t="s">
        <v>79</v>
      </c>
      <c r="F128" s="10">
        <f>D128/C128</f>
        <v>1.100338218714769</v>
      </c>
      <c r="G128" s="170">
        <f>(D128-C128)/C128</f>
        <v>0.10033821871476896</v>
      </c>
      <c r="H128" s="10">
        <v>182</v>
      </c>
    </row>
    <row r="129" spans="2:8" hidden="1" x14ac:dyDescent="0.25">
      <c r="B129" s="169" t="s">
        <v>80</v>
      </c>
      <c r="C129" s="10">
        <v>10.42</v>
      </c>
      <c r="D129" s="10">
        <v>11.42</v>
      </c>
      <c r="E129" s="169" t="s">
        <v>79</v>
      </c>
      <c r="F129" s="10">
        <f>D129/C129</f>
        <v>1.0959692898272553</v>
      </c>
      <c r="G129" s="170">
        <f>(D129-C129)/C129</f>
        <v>9.5969289827255277E-2</v>
      </c>
      <c r="H129" s="10">
        <v>182</v>
      </c>
    </row>
    <row r="130" spans="2:8" hidden="1" x14ac:dyDescent="0.25">
      <c r="B130" s="10" t="s">
        <v>81</v>
      </c>
      <c r="C130" s="10">
        <v>10.08</v>
      </c>
      <c r="D130" s="10">
        <v>10.68</v>
      </c>
      <c r="E130" s="169" t="s">
        <v>82</v>
      </c>
      <c r="F130" s="10">
        <f>D130/C130</f>
        <v>1.0595238095238095</v>
      </c>
      <c r="G130" s="170">
        <f>(D130-C130)/C130</f>
        <v>5.9523809523809486E-2</v>
      </c>
      <c r="H130" s="10">
        <v>298</v>
      </c>
    </row>
    <row r="131" spans="2:8" hidden="1" x14ac:dyDescent="0.25">
      <c r="B131" s="169" t="s">
        <v>83</v>
      </c>
      <c r="C131" s="10">
        <v>10.61</v>
      </c>
      <c r="D131" s="10">
        <v>11.27</v>
      </c>
      <c r="E131" s="169" t="s">
        <v>82</v>
      </c>
      <c r="F131" s="10">
        <f>D131/C131</f>
        <v>1.062205466540999</v>
      </c>
      <c r="G131" s="170">
        <f>(D131-C131)/C131</f>
        <v>6.2205466540999073E-2</v>
      </c>
      <c r="H131" s="10">
        <v>273</v>
      </c>
    </row>
    <row r="132" spans="2:8" hidden="1" x14ac:dyDescent="0.25">
      <c r="B132" s="171" t="s">
        <v>84</v>
      </c>
      <c r="C132" s="172">
        <v>4.4800000000000004</v>
      </c>
      <c r="D132" s="172">
        <v>5</v>
      </c>
      <c r="E132" s="171" t="s">
        <v>79</v>
      </c>
      <c r="F132" s="172">
        <f>D132/C132</f>
        <v>1.1160714285714284</v>
      </c>
      <c r="G132" s="173">
        <f>(D132-C132)/C132</f>
        <v>0.11607142857142846</v>
      </c>
      <c r="H132" s="172">
        <v>179</v>
      </c>
    </row>
    <row r="133" spans="2:8" hidden="1" x14ac:dyDescent="0.25"/>
    <row r="134" spans="2:8" hidden="1" x14ac:dyDescent="0.25"/>
  </sheetData>
  <sheetProtection password="E3B1" sheet="1" objects="1" scenarios="1" formatCells="0" formatColumns="0" formatRows="0" insertColumns="0" insertRows="0" insertHyperlinks="0" deleteColumns="0" deleteRows="0"/>
  <mergeCells count="41">
    <mergeCell ref="J85:J86"/>
    <mergeCell ref="O70:O71"/>
    <mergeCell ref="P70:P71"/>
    <mergeCell ref="M85:M86"/>
    <mergeCell ref="N85:N86"/>
    <mergeCell ref="O85:O86"/>
    <mergeCell ref="P85:P86"/>
    <mergeCell ref="L85:L86"/>
    <mergeCell ref="J70:J71"/>
    <mergeCell ref="Q85:Q86"/>
    <mergeCell ref="K85:K86"/>
    <mergeCell ref="L70:L71"/>
    <mergeCell ref="P100:Q100"/>
    <mergeCell ref="K100:O100"/>
    <mergeCell ref="K70:K71"/>
    <mergeCell ref="M70:M71"/>
    <mergeCell ref="Q70:Q71"/>
    <mergeCell ref="N70:N71"/>
    <mergeCell ref="L7:M7"/>
    <mergeCell ref="L8:M8"/>
    <mergeCell ref="L9:M9"/>
    <mergeCell ref="G11:H11"/>
    <mergeCell ref="F59:G59"/>
    <mergeCell ref="H38:I38"/>
    <mergeCell ref="C34:G34"/>
    <mergeCell ref="C68:I68"/>
    <mergeCell ref="L38:M38"/>
    <mergeCell ref="N38:O38"/>
    <mergeCell ref="L4:R4"/>
    <mergeCell ref="L5:R5"/>
    <mergeCell ref="B29:D30"/>
    <mergeCell ref="G9:H9"/>
    <mergeCell ref="G12:H12"/>
    <mergeCell ref="N22:P22"/>
    <mergeCell ref="L20:S20"/>
    <mergeCell ref="G13:H13"/>
    <mergeCell ref="J62:K62"/>
    <mergeCell ref="P38:Q38"/>
    <mergeCell ref="P39:Q39"/>
    <mergeCell ref="C5:I5"/>
    <mergeCell ref="L6:M6"/>
  </mergeCells>
  <dataValidations count="2">
    <dataValidation type="list" allowBlank="1" showInputMessage="1" showErrorMessage="1" sqref="F7">
      <formula1>$C$108:$C$109</formula1>
    </dataValidation>
    <dataValidation type="list" allowBlank="1" showInputMessage="1" showErrorMessage="1" sqref="C19">
      <formula1>$D$108:$D$109</formula1>
    </dataValidation>
  </dataValidations>
  <pageMargins left="0.7" right="0.7" top="0.78740157499999996" bottom="0.78740157499999996" header="0.3" footer="0.3"/>
  <pageSetup paperSize="8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Heizkostenvergleich</vt:lpstr>
      <vt:lpstr>Heizkostenvergleich!Druckbereich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Oesterreich</dc:creator>
  <cp:lastModifiedBy>Weberhof Bruchhagen</cp:lastModifiedBy>
  <cp:lastPrinted>2013-04-23T14:48:49Z</cp:lastPrinted>
  <dcterms:created xsi:type="dcterms:W3CDTF">2013-04-23T06:28:25Z</dcterms:created>
  <dcterms:modified xsi:type="dcterms:W3CDTF">2017-07-07T10:13:34Z</dcterms:modified>
</cp:coreProperties>
</file>